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 activeTab="1"/>
  </bookViews>
  <sheets>
    <sheet name="PLANILHA ORÇAMENTÁRIA" sheetId="1" r:id="rId1"/>
    <sheet name="MEMÓRIA DE CÁLCULO" sheetId="5" r:id="rId2"/>
    <sheet name="CRONOGRAMA" sheetId="6" r:id="rId3"/>
  </sheets>
  <definedNames>
    <definedName name="_xlnm.Print_Area" localSheetId="1">'MEMÓRIA DE CÁLCULO'!$A$1:$R$99</definedName>
    <definedName name="_xlnm.Print_Area" localSheetId="0">'PLANILHA ORÇAMENTÁRIA'!$A$1:$Q$99</definedName>
    <definedName name="_xlnm.Print_Titles" localSheetId="1">'MEMÓRIA DE CÁLCULO'!$12:$12</definedName>
    <definedName name="_xlnm.Print_Titles" localSheetId="0">'PLANILHA ORÇAMENTÁRIA'!$13:$13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2" i="6"/>
  <c r="D7"/>
  <c r="C15"/>
  <c r="G15" s="1"/>
  <c r="G16" s="1"/>
  <c r="C13"/>
  <c r="F14" s="1"/>
  <c r="C11"/>
  <c r="F11" s="1"/>
  <c r="C9"/>
  <c r="C7"/>
  <c r="G8" s="1"/>
  <c r="F12" l="1"/>
  <c r="F19"/>
  <c r="G14"/>
  <c r="E9"/>
  <c r="D9"/>
  <c r="G19"/>
  <c r="D8"/>
  <c r="F8"/>
  <c r="C18"/>
  <c r="C8" s="1"/>
  <c r="C14"/>
  <c r="E8"/>
  <c r="E13"/>
  <c r="E14" s="1"/>
  <c r="D10" l="1"/>
  <c r="D19"/>
  <c r="E19"/>
  <c r="E10"/>
  <c r="C10"/>
  <c r="C16"/>
  <c r="C12"/>
  <c r="G20"/>
  <c r="E20"/>
  <c r="F20" l="1"/>
  <c r="D21"/>
  <c r="D20"/>
  <c r="D22" s="1"/>
  <c r="E22" s="1"/>
  <c r="F21" l="1"/>
  <c r="G21" s="1"/>
  <c r="E21"/>
  <c r="F22"/>
  <c r="G22" s="1"/>
  <c r="P81" i="5" l="1"/>
  <c r="Q81" s="1"/>
  <c r="Q82" s="1"/>
  <c r="O81"/>
  <c r="O82" s="1"/>
  <c r="P78"/>
  <c r="M78"/>
  <c r="Q78" s="1"/>
  <c r="P77"/>
  <c r="P76"/>
  <c r="M76"/>
  <c r="Q76" s="1"/>
  <c r="P75"/>
  <c r="M75"/>
  <c r="Q75" s="1"/>
  <c r="P74"/>
  <c r="Q74" s="1"/>
  <c r="O74"/>
  <c r="P73"/>
  <c r="Q73" s="1"/>
  <c r="O73"/>
  <c r="P72"/>
  <c r="Q72" s="1"/>
  <c r="O72"/>
  <c r="P71"/>
  <c r="M71"/>
  <c r="Q71" s="1"/>
  <c r="P70"/>
  <c r="M70"/>
  <c r="Q70" s="1"/>
  <c r="P69"/>
  <c r="O69"/>
  <c r="M69"/>
  <c r="Q69" s="1"/>
  <c r="Q68"/>
  <c r="P68"/>
  <c r="O68"/>
  <c r="P65"/>
  <c r="M65"/>
  <c r="Q65" s="1"/>
  <c r="P64"/>
  <c r="Q64" s="1"/>
  <c r="O64"/>
  <c r="P63"/>
  <c r="Q63" s="1"/>
  <c r="O63"/>
  <c r="P62"/>
  <c r="Q62" s="1"/>
  <c r="O62"/>
  <c r="P61"/>
  <c r="Q61" s="1"/>
  <c r="O61"/>
  <c r="P60"/>
  <c r="O60"/>
  <c r="M60"/>
  <c r="Q60" s="1"/>
  <c r="P59"/>
  <c r="Q59" s="1"/>
  <c r="O59"/>
  <c r="P58"/>
  <c r="M58"/>
  <c r="Q58" s="1"/>
  <c r="P57"/>
  <c r="Q57" s="1"/>
  <c r="O57"/>
  <c r="P56"/>
  <c r="Q56" s="1"/>
  <c r="O56"/>
  <c r="Q55"/>
  <c r="P55"/>
  <c r="O55"/>
  <c r="P54"/>
  <c r="Q54" s="1"/>
  <c r="O54"/>
  <c r="Q53"/>
  <c r="P53"/>
  <c r="O53"/>
  <c r="P52"/>
  <c r="Q52" s="1"/>
  <c r="O52"/>
  <c r="P51"/>
  <c r="M51"/>
  <c r="Q51" s="1"/>
  <c r="P50"/>
  <c r="Q50" s="1"/>
  <c r="O50"/>
  <c r="Q49"/>
  <c r="P49"/>
  <c r="O49"/>
  <c r="P48"/>
  <c r="Q48" s="1"/>
  <c r="O48"/>
  <c r="P47"/>
  <c r="O47"/>
  <c r="M47"/>
  <c r="Q47" s="1"/>
  <c r="P46"/>
  <c r="O46"/>
  <c r="M46"/>
  <c r="Q46" s="1"/>
  <c r="P45"/>
  <c r="Q45" s="1"/>
  <c r="O45"/>
  <c r="P44"/>
  <c r="M44"/>
  <c r="Q44" s="1"/>
  <c r="P43"/>
  <c r="Q43" s="1"/>
  <c r="O43"/>
  <c r="P39"/>
  <c r="O39"/>
  <c r="M39"/>
  <c r="Q39" s="1"/>
  <c r="Q38"/>
  <c r="P38"/>
  <c r="O38"/>
  <c r="P37"/>
  <c r="Q37" s="1"/>
  <c r="O37"/>
  <c r="P36"/>
  <c r="M36"/>
  <c r="Q36" s="1"/>
  <c r="Q35"/>
  <c r="P35"/>
  <c r="O35"/>
  <c r="P34"/>
  <c r="Q34" s="1"/>
  <c r="O34"/>
  <c r="P33"/>
  <c r="Q33" s="1"/>
  <c r="O33"/>
  <c r="P32"/>
  <c r="M32"/>
  <c r="Q32" s="1"/>
  <c r="P31"/>
  <c r="Q31" s="1"/>
  <c r="O31"/>
  <c r="P30"/>
  <c r="Q30" s="1"/>
  <c r="O30"/>
  <c r="P29"/>
  <c r="M29"/>
  <c r="Q29" s="1"/>
  <c r="Q28"/>
  <c r="P28"/>
  <c r="O28"/>
  <c r="P27"/>
  <c r="O27"/>
  <c r="M27"/>
  <c r="Q27" s="1"/>
  <c r="P26"/>
  <c r="O26"/>
  <c r="M26"/>
  <c r="Q26" s="1"/>
  <c r="Q25"/>
  <c r="P25"/>
  <c r="O25"/>
  <c r="P24"/>
  <c r="Q24" s="1"/>
  <c r="O24"/>
  <c r="P23"/>
  <c r="M23"/>
  <c r="Q23" s="1"/>
  <c r="P22"/>
  <c r="M22"/>
  <c r="Q22" s="1"/>
  <c r="P21"/>
  <c r="O21"/>
  <c r="M21"/>
  <c r="Q21" s="1"/>
  <c r="Q20"/>
  <c r="P20"/>
  <c r="O20"/>
  <c r="P19"/>
  <c r="Q19" s="1"/>
  <c r="O19"/>
  <c r="Q18"/>
  <c r="Q40" s="1"/>
  <c r="P18"/>
  <c r="O18"/>
  <c r="P15"/>
  <c r="Q15" s="1"/>
  <c r="O15"/>
  <c r="P14"/>
  <c r="Q14" s="1"/>
  <c r="Q16" s="1"/>
  <c r="O14"/>
  <c r="O16" s="1"/>
  <c r="Q55" i="1"/>
  <c r="Q27"/>
  <c r="P82"/>
  <c r="Q82" s="1"/>
  <c r="P79"/>
  <c r="Q79" s="1"/>
  <c r="P78"/>
  <c r="Q78" s="1"/>
  <c r="P77"/>
  <c r="Q77" s="1"/>
  <c r="P76"/>
  <c r="Q76" s="1"/>
  <c r="P75"/>
  <c r="Q75" s="1"/>
  <c r="P74"/>
  <c r="Q74" s="1"/>
  <c r="P73"/>
  <c r="Q73" s="1"/>
  <c r="P72"/>
  <c r="Q72" s="1"/>
  <c r="P71"/>
  <c r="Q71" s="1"/>
  <c r="P70"/>
  <c r="Q70" s="1"/>
  <c r="P69"/>
  <c r="Q69" s="1"/>
  <c r="P66"/>
  <c r="Q66" s="1"/>
  <c r="P65"/>
  <c r="Q65" s="1"/>
  <c r="P64"/>
  <c r="Q64" s="1"/>
  <c r="P63"/>
  <c r="Q63" s="1"/>
  <c r="P62"/>
  <c r="Q62" s="1"/>
  <c r="P61"/>
  <c r="Q61" s="1"/>
  <c r="P60"/>
  <c r="Q60" s="1"/>
  <c r="P59"/>
  <c r="Q59" s="1"/>
  <c r="P58"/>
  <c r="Q58" s="1"/>
  <c r="P57"/>
  <c r="Q57" s="1"/>
  <c r="P56"/>
  <c r="Q56" s="1"/>
  <c r="P55"/>
  <c r="P54"/>
  <c r="Q54" s="1"/>
  <c r="P53"/>
  <c r="Q53" s="1"/>
  <c r="P52"/>
  <c r="Q52" s="1"/>
  <c r="P51"/>
  <c r="Q51" s="1"/>
  <c r="P50"/>
  <c r="Q50" s="1"/>
  <c r="P49"/>
  <c r="Q49" s="1"/>
  <c r="P48"/>
  <c r="Q48" s="1"/>
  <c r="P47"/>
  <c r="Q47" s="1"/>
  <c r="P46"/>
  <c r="Q46" s="1"/>
  <c r="P45"/>
  <c r="Q45" s="1"/>
  <c r="P44"/>
  <c r="Q44" s="1"/>
  <c r="P40"/>
  <c r="Q40" s="1"/>
  <c r="P39"/>
  <c r="Q39" s="1"/>
  <c r="P38"/>
  <c r="Q38" s="1"/>
  <c r="P37"/>
  <c r="Q37" s="1"/>
  <c r="P36"/>
  <c r="Q36" s="1"/>
  <c r="P35"/>
  <c r="Q35" s="1"/>
  <c r="P34"/>
  <c r="Q34" s="1"/>
  <c r="P33"/>
  <c r="Q33" s="1"/>
  <c r="P32"/>
  <c r="Q32" s="1"/>
  <c r="P31"/>
  <c r="Q31" s="1"/>
  <c r="P30"/>
  <c r="Q30" s="1"/>
  <c r="P29"/>
  <c r="Q29" s="1"/>
  <c r="P28"/>
  <c r="Q28" s="1"/>
  <c r="P27"/>
  <c r="P26"/>
  <c r="Q26" s="1"/>
  <c r="P25"/>
  <c r="Q25" s="1"/>
  <c r="P24"/>
  <c r="Q24" s="1"/>
  <c r="P23"/>
  <c r="Q23" s="1"/>
  <c r="P22"/>
  <c r="Q22" s="1"/>
  <c r="P21"/>
  <c r="Q21" s="1"/>
  <c r="P20"/>
  <c r="Q20" s="1"/>
  <c r="P19"/>
  <c r="Q19" s="1"/>
  <c r="P16"/>
  <c r="Q16" s="1"/>
  <c r="Q66" i="5" l="1"/>
  <c r="O29"/>
  <c r="O32"/>
  <c r="O44"/>
  <c r="O66" s="1"/>
  <c r="O51"/>
  <c r="O58"/>
  <c r="O70"/>
  <c r="O71"/>
  <c r="M77"/>
  <c r="O22"/>
  <c r="O40" s="1"/>
  <c r="O23"/>
  <c r="O36"/>
  <c r="O65"/>
  <c r="O75"/>
  <c r="O76"/>
  <c r="O78"/>
  <c r="Q83" i="1"/>
  <c r="O82"/>
  <c r="O83" s="1"/>
  <c r="M79"/>
  <c r="O79" s="1"/>
  <c r="M77"/>
  <c r="O77" s="1"/>
  <c r="M76"/>
  <c r="O76" s="1"/>
  <c r="O75"/>
  <c r="O74"/>
  <c r="O73"/>
  <c r="O72"/>
  <c r="M72"/>
  <c r="M71"/>
  <c r="O71" s="1"/>
  <c r="M70"/>
  <c r="O69"/>
  <c r="M66"/>
  <c r="O66" s="1"/>
  <c r="O65"/>
  <c r="O64"/>
  <c r="O63"/>
  <c r="O62"/>
  <c r="M61"/>
  <c r="O61" s="1"/>
  <c r="O60"/>
  <c r="M59"/>
  <c r="O59" s="1"/>
  <c r="O58"/>
  <c r="O57"/>
  <c r="O56"/>
  <c r="O55"/>
  <c r="O54"/>
  <c r="O53"/>
  <c r="M52"/>
  <c r="O51"/>
  <c r="O50"/>
  <c r="O49"/>
  <c r="M48"/>
  <c r="O48" s="1"/>
  <c r="M47"/>
  <c r="O47" s="1"/>
  <c r="O46"/>
  <c r="M45"/>
  <c r="O45" s="1"/>
  <c r="O44"/>
  <c r="M40"/>
  <c r="O40" s="1"/>
  <c r="O39"/>
  <c r="O38"/>
  <c r="M37"/>
  <c r="O37" s="1"/>
  <c r="O36"/>
  <c r="O35"/>
  <c r="O34"/>
  <c r="M33"/>
  <c r="O31"/>
  <c r="M30"/>
  <c r="O30" s="1"/>
  <c r="O29"/>
  <c r="M28"/>
  <c r="O28" s="1"/>
  <c r="M27"/>
  <c r="O27" s="1"/>
  <c r="O26"/>
  <c r="O25"/>
  <c r="M24"/>
  <c r="M23"/>
  <c r="M22"/>
  <c r="O21"/>
  <c r="O20"/>
  <c r="O19"/>
  <c r="O16"/>
  <c r="P15"/>
  <c r="Q15" s="1"/>
  <c r="O15"/>
  <c r="Q77" i="5" l="1"/>
  <c r="Q79" s="1"/>
  <c r="Q84" s="1"/>
  <c r="O77"/>
  <c r="O79" s="1"/>
  <c r="O84" s="1"/>
  <c r="O70" i="1"/>
  <c r="O17"/>
  <c r="O33"/>
  <c r="Q17"/>
  <c r="O32"/>
  <c r="O52"/>
  <c r="O67" s="1"/>
  <c r="O22"/>
  <c r="O23"/>
  <c r="O24"/>
  <c r="M78"/>
  <c r="Q41" l="1"/>
  <c r="O41"/>
  <c r="Q67"/>
  <c r="O78"/>
  <c r="O80" s="1"/>
  <c r="Q80"/>
  <c r="O85" l="1"/>
  <c r="Q85"/>
</calcChain>
</file>

<file path=xl/sharedStrings.xml><?xml version="1.0" encoding="utf-8"?>
<sst xmlns="http://schemas.openxmlformats.org/spreadsheetml/2006/main" count="725" uniqueCount="246">
  <si>
    <t>MEMÓRIA DE CÁLCULO</t>
  </si>
  <si>
    <t xml:space="preserve">SERVIÇOS PRELIMINARES </t>
  </si>
  <si>
    <t>1.1</t>
  </si>
  <si>
    <t>02.08.020</t>
  </si>
  <si>
    <t>CDHU</t>
  </si>
  <si>
    <t xml:space="preserve">Placa de identificação de obra </t>
  </si>
  <si>
    <t>m²</t>
  </si>
  <si>
    <t>&gt;&gt; 2,40X1,20 = 2,88m²</t>
  </si>
  <si>
    <t>1.2</t>
  </si>
  <si>
    <t>02.02.150</t>
  </si>
  <si>
    <t>Locação de container tipo depósito - área mínima de 13,80 m²</t>
  </si>
  <si>
    <t>unxmês</t>
  </si>
  <si>
    <t>&gt;&gt; 4 MESES</t>
  </si>
  <si>
    <t>2.1</t>
  </si>
  <si>
    <t>01.17.051</t>
  </si>
  <si>
    <t>Projeto executivo de estrutura em formato A1</t>
  </si>
  <si>
    <t>un</t>
  </si>
  <si>
    <t>&gt;&gt; PROJETO COMPLETO</t>
  </si>
  <si>
    <t>2.2</t>
  </si>
  <si>
    <t>02.10.050</t>
  </si>
  <si>
    <t>Locação para muros, cercas e alambrados</t>
  </si>
  <si>
    <t>m</t>
  </si>
  <si>
    <t>&gt;&gt; EXTENSÃO DO MURO DE ARRIMO</t>
  </si>
  <si>
    <t>2.3</t>
  </si>
  <si>
    <t>03.02.040</t>
  </si>
  <si>
    <t>Demolição manual de alvenaria de elevação ou elemento vazado, incluindo revestimento</t>
  </si>
  <si>
    <t>m³</t>
  </si>
  <si>
    <t>&gt;&gt; MURO EXISTENTE: 10,77M EXTENSÃO X 2M DE ALTURA X 0,15M LARGURA = 3,23m³</t>
  </si>
  <si>
    <t>2.4</t>
  </si>
  <si>
    <t>07.01.060</t>
  </si>
  <si>
    <t>Escavação e carga mecanizada em solo de 2ª categoria, em campo aberto</t>
  </si>
  <si>
    <t>2.5</t>
  </si>
  <si>
    <t>07.11.020</t>
  </si>
  <si>
    <t>Reaterro compactado mecanizado de vala ou cava com compactador</t>
  </si>
  <si>
    <t>2.6</t>
  </si>
  <si>
    <t>05.08.220</t>
  </si>
  <si>
    <t>Carregamento mecanizado de entulho fragmentado, com caminhão à disposição dentro da obra, até o raio de 1 km</t>
  </si>
  <si>
    <t>2.7</t>
  </si>
  <si>
    <t>12.01.041</t>
  </si>
  <si>
    <t>Broca em concreto armado diâmetro de 25 cm - completa</t>
  </si>
  <si>
    <t>2.8</t>
  </si>
  <si>
    <t>09.01.020</t>
  </si>
  <si>
    <t xml:space="preserve">Forma em madeira comum para fundação </t>
  </si>
  <si>
    <t>2.9</t>
  </si>
  <si>
    <t>11.04.020</t>
  </si>
  <si>
    <t>&gt;&gt; EXTENSÃO = 13,50M X 1,10M X 0,05M = 0,74m³</t>
  </si>
  <si>
    <t>2.11</t>
  </si>
  <si>
    <t>11.01.130</t>
  </si>
  <si>
    <t>Concreto usinado, fck = 25 Mpa</t>
  </si>
  <si>
    <t>&gt;&gt; SAPATA CORRIDA =  EXTENSÃO = 13,50M X 1,10M X 0,25M = 3,71m³</t>
  </si>
  <si>
    <t>2.10</t>
  </si>
  <si>
    <t>11.16.040</t>
  </si>
  <si>
    <t>Lançamento e adensamento de concreto ou massa em fundação</t>
  </si>
  <si>
    <t>&gt;&gt; LASTRO + SAPATA CORRIDA = 0,74M³ + 3,71M³ = 4,45m³</t>
  </si>
  <si>
    <t>2.12</t>
  </si>
  <si>
    <t>10.01.040</t>
  </si>
  <si>
    <t>Armadura em barra de aço CA-50 (A ou B) fyk = 500 Mpa</t>
  </si>
  <si>
    <t>kg</t>
  </si>
  <si>
    <t>2.14</t>
  </si>
  <si>
    <t>14.11.271</t>
  </si>
  <si>
    <t>Alvenaria de bloco de concreto estrutural 19 x 19 x 39 cm - classe A</t>
  </si>
  <si>
    <t>2.15</t>
  </si>
  <si>
    <t>32.17.010</t>
  </si>
  <si>
    <t>Impermeabilização em argamassa impermeável com aditivo hidrófugo</t>
  </si>
  <si>
    <t>2.16</t>
  </si>
  <si>
    <t>32.16.010</t>
  </si>
  <si>
    <t>Impermeabilização em pintura de asfalto oxidado com solventes orgânicos, sobre massa</t>
  </si>
  <si>
    <t>2.17</t>
  </si>
  <si>
    <t>11.05.040</t>
  </si>
  <si>
    <t>Argamassa graute</t>
  </si>
  <si>
    <t>11.16.060</t>
  </si>
  <si>
    <t>Lançamento e adensamento de concreto ou massa em estrutura</t>
  </si>
  <si>
    <t>2.18</t>
  </si>
  <si>
    <t>08.05.100</t>
  </si>
  <si>
    <t>Dreno com pedra britada</t>
  </si>
  <si>
    <t>2.19</t>
  </si>
  <si>
    <t>08.06.040</t>
  </si>
  <si>
    <t>Barbacã em tubo de PVC com diâmetro 50 mm</t>
  </si>
  <si>
    <t>2.20</t>
  </si>
  <si>
    <t>17.02.020</t>
  </si>
  <si>
    <t>Chapisco</t>
  </si>
  <si>
    <t>2.21</t>
  </si>
  <si>
    <t>46.12.210</t>
  </si>
  <si>
    <t>Meio tubo de concreto, DN= 300mm</t>
  </si>
  <si>
    <t>14.20.020</t>
  </si>
  <si>
    <t>Cimalha em concreto com pingadeira</t>
  </si>
  <si>
    <t>&gt;&gt; EXTENSÃO DO MURO</t>
  </si>
  <si>
    <t>3.1</t>
  </si>
  <si>
    <t>02.09.130</t>
  </si>
  <si>
    <t>Limpeza mecanizada do terreno, inclusive troncos com diâmetro acima de 15 cm até 50 cm, com caminhão à disposição dentro da obra, até o raio de 1 km</t>
  </si>
  <si>
    <t>06.01.020</t>
  </si>
  <si>
    <t>Escavação manual em solo de 1ª e 2ª categoria em campo aberto</t>
  </si>
  <si>
    <t>12.01.021</t>
  </si>
  <si>
    <t>Broca em concreto armado diâmetro de 20 cm – completa</t>
  </si>
  <si>
    <t>11.18.040</t>
  </si>
  <si>
    <t>Lastro de pedra britada – 3 cm</t>
  </si>
  <si>
    <t xml:space="preserve">Forma em madeira comum para estrutura </t>
  </si>
  <si>
    <t>10.01.060</t>
  </si>
  <si>
    <t xml:space="preserve">Armadura em barra de aço CA-60 (A ou B) fyk= 600 MPa </t>
  </si>
  <si>
    <t>14.10.111</t>
  </si>
  <si>
    <t>Alvenaria de bloco de concreto de vedação de 14 x 19 x 39 cm - classe C</t>
  </si>
  <si>
    <t>Canaleta de concreto de vedação de 14 x 19 x 39 cm - classe C</t>
  </si>
  <si>
    <t>49.03.020</t>
  </si>
  <si>
    <t>Caixa em alvenaria, 600 x 600 x 600 mm</t>
  </si>
  <si>
    <t>&gt;&gt; 1 CAIXA</t>
  </si>
  <si>
    <t>46.13.026</t>
  </si>
  <si>
    <t>Tubo em polietileno de alta densidade corrugado perfurado, DN= 6´, inclusive conexões</t>
  </si>
  <si>
    <t>08.05.180</t>
  </si>
  <si>
    <t>Manta geotêxtil com resistência à tração longitudinal de 10kN/m e transversal de 9kN/m</t>
  </si>
  <si>
    <t>CALÇADA</t>
  </si>
  <si>
    <t>4.1</t>
  </si>
  <si>
    <t>02.10.060</t>
  </si>
  <si>
    <t>Locação de vias, calçadas, tanques e lagoas</t>
  </si>
  <si>
    <t>4.2</t>
  </si>
  <si>
    <t>07.01.020</t>
  </si>
  <si>
    <t>Escavação e carga mecanizada em solo de 1ª categoria, em campo aberto</t>
  </si>
  <si>
    <t>4.3</t>
  </si>
  <si>
    <t>4.4</t>
  </si>
  <si>
    <t>03.01.020</t>
  </si>
  <si>
    <t>Demolição manual de concreto simples</t>
  </si>
  <si>
    <t>4.5</t>
  </si>
  <si>
    <t>4.6</t>
  </si>
  <si>
    <t>03.06.050</t>
  </si>
  <si>
    <t>Desmonte (levantamento) mecanizado de pavimento em paralelepípedo ou lajota de concreto, inclusive carregamento, transporte até 1 quilômetro e descarregamento</t>
  </si>
  <si>
    <t>4.7</t>
  </si>
  <si>
    <t>4.8</t>
  </si>
  <si>
    <t xml:space="preserve">Lastro de pedra britada - 3cm </t>
  </si>
  <si>
    <t>4.9</t>
  </si>
  <si>
    <t>Concreto usinado, fck = 25,0 Mpa - 6cm</t>
  </si>
  <si>
    <t>4.10</t>
  </si>
  <si>
    <t>4.11</t>
  </si>
  <si>
    <t>10.02.020</t>
  </si>
  <si>
    <t>SERVIÇOS FINAIS</t>
  </si>
  <si>
    <t>34.02.100</t>
  </si>
  <si>
    <t>Plantio de grama esmeralda em placas (jardins e canteiros)</t>
  </si>
  <si>
    <t>&gt;&gt; CONFORME PROJETO</t>
  </si>
  <si>
    <t>TOTAL S/ BDI</t>
  </si>
  <si>
    <t>TOTAL C/ BDI</t>
  </si>
  <si>
    <t>ITEM</t>
  </si>
  <si>
    <t>30 DIAS</t>
  </si>
  <si>
    <t>60 DIAS</t>
  </si>
  <si>
    <t>90 DIAS</t>
  </si>
  <si>
    <t>120 DIAS</t>
  </si>
  <si>
    <t>&gt;&gt; RETIRADA DO ENTULHO GERADO APÓS A DEMOLIÇÃO DO MURO EXISTNTE = 3,23m³</t>
  </si>
  <si>
    <t>&gt;&gt; ESCAVAÇÃO DO SOLO PARA EXECUÇÃO DO MURO DE ARRIMO = 13,50M X 2M X 1,70M = 45,90m³</t>
  </si>
  <si>
    <t>&gt;&gt; REATERRO DO SOLO APÓS A EXECUÇÃO DO MURO DE ARRIMO = 13,50M X 1,30M X 1,70M = 29,84m³</t>
  </si>
  <si>
    <t>&gt;&gt; EXTENSÃO = 13,50M / 1,50M = 10 BROCAS  X 2 = 20 BROCAS X 3M = 60m</t>
  </si>
  <si>
    <t>&gt;&gt; FORMA PARA EXECUÇÃO DA SAPATA = 13,50M + 1,10M X 0,35M X 2 = 10,22m²</t>
  </si>
  <si>
    <t>2.13</t>
  </si>
  <si>
    <t>2.22</t>
  </si>
  <si>
    <t>&gt;&gt; INSTALAÇÃO A CADA 1,50M = 13,50M / 1,50M = 9 X 0,25 = 2,25m</t>
  </si>
  <si>
    <t>&gt;&gt; EXTENSÃO DO MURO DE FECHAMENTO</t>
  </si>
  <si>
    <t>&gt;&gt; FAIXA COM 2 METROS DE LARGURA = 40M X 2M = 80m²</t>
  </si>
  <si>
    <t>&gt;&gt; ESCAVAÇÃO (VIGA BALDRAME) = 0,20M X 0,20M X 40M = 1,60m³</t>
  </si>
  <si>
    <t>&gt;&gt; EXTENSÃO = 40M / 2M = 20 BROCAS + 01 BROCA (CANTO) X 3M = 63m</t>
  </si>
  <si>
    <t>&gt;&gt; LASTRO (VIGA BALDRAME) = 40M X 0,20M X 0,03 = 0,24m³</t>
  </si>
  <si>
    <t>&gt;&gt; VIGA BALDRAME = 0,20M X 0,20M X 40M = 1,60M³ + PILAR = 21 UNIDADES X 0,14M X 0,14M X 2,70M = 1,11M³ = TOTAL = 2,71m³</t>
  </si>
  <si>
    <t xml:space="preserve">&gt;&gt; VIGA BALDRAME = 0,20M X 0,20M X 40M = 1,60M³ </t>
  </si>
  <si>
    <t>&gt;&gt; ARGAMASSA GRAUTE = 0,14M X 0,16M X 40M X 2 = 1,79m³</t>
  </si>
  <si>
    <t>09.01.030</t>
  </si>
  <si>
    <t>&gt;&gt; VIGA BALDRAME = 0,25M X 40M X 2 = 20m²</t>
  </si>
  <si>
    <t>&gt;&gt; PILAR = 0,20M X 2,70M X 21 X 2 = 22,68m²</t>
  </si>
  <si>
    <t xml:space="preserve">&gt;&gt; VIGA BALDRAME = 4 BARRAS DE 10MM X 40M = 160M X 0,617KG/M = 98,72KG                                                                                        &gt;&gt; PILAR = 4 BARRAS DE 12,5MM X 2,70M X 21 = 226,80M X 0,963KG/M = 218,40KG                                                                                       &gt;&gt; CANALETA + AMARRAÇÃO = 9 BARRAS DE 6,3MM  X 40M = 360M X 0,245KG/M = 88,20KG                                                                                                                   &gt;&gt; BROCA =  4 BARRAS DE 12,5MM  X 2,50M X 21 = 210M X 0,963KG/M = 202,23 KG                                                                                   &gt;&gt; TOTAL = 98,72KG + 218,40KG + 88,20KG + 202,23KG = 607,55kg                                                                                                     </t>
  </si>
  <si>
    <t>&gt;&gt; VIGA BALDRAME = BARRAS DE 5MM = 40M / 0,12M = 334 ESTRIBOS X 0,60M = 201M X 0,154KG/M = 30,95KG                                 &gt;&gt; PILAR = BARRAS DE 5MM = 2,70M / 0,12M = 23 ESTRIBOS X 21 PILARES = 483 ESTRIBOS X 0,50M = 241,50M X 0,154KG/M = 37,19KG                                                                                                              &gt;&gt; BROCA = BARRAS DE 4,2MM = 2,50M / 0,15M = 17 ESTRIBOS X 21 BROCAS = 357 ESTRIBOS X 0,60M = 214,20M X 0,109KG/M = 23,35KG                                                                                                              &gt;&gt; TOTAL = 30,95KG + 37,19KG + 23,35KG = 91,49kg</t>
  </si>
  <si>
    <t>&gt;&gt; 11 FIADAS  X 40M X 0,20M = 88m²</t>
  </si>
  <si>
    <t>&gt;&gt;  2 FIADAS  X 40M X 0,20M = 16m²</t>
  </si>
  <si>
    <t>&gt;&gt; FACE INTERNA E EXTERNA = 40M X 2,40M X 2 = 192m²</t>
  </si>
  <si>
    <t>&gt;&gt; FACE INTERNA E EXTERNA  = 40M X 0,50M X 2 = 40m²</t>
  </si>
  <si>
    <t>&gt;&gt; 1,0M X 15M = 15m²</t>
  </si>
  <si>
    <t>&gt;&gt; VALA = 0,40M X 0,40M X 15M = 2,40m³</t>
  </si>
  <si>
    <t>&gt;&gt; 6,6 x 2,40M + 17,21 x 13,50M = 446,18kg</t>
  </si>
  <si>
    <t>&gt;&gt; 592,40M² X 0,12M = 71,09m³</t>
  </si>
  <si>
    <t>&gt;&gt; 592,40M² x 0,03M = 17,77m³</t>
  </si>
  <si>
    <t>&gt;&gt; DEMOLIÇÃO DA CALÇADA EXISTENTE  = 10,30M² X 0,06M = 0,62m³</t>
  </si>
  <si>
    <t>&gt;&gt; RETIRADA DO ENTULHO GERADO APÓS A DEMOLIÇÃO DA CALÇADA =  0,62m³</t>
  </si>
  <si>
    <t>&gt;&gt; DESMONTE DE 58,06m²</t>
  </si>
  <si>
    <t>&gt;&gt; LASTRO = 592,40M² X 0,03M = 17,77m³</t>
  </si>
  <si>
    <t>&gt;&gt; CONCRETO = 592,40M² X 0,06M = 35,54m³</t>
  </si>
  <si>
    <t>&gt;&gt; 35,54m³</t>
  </si>
  <si>
    <t>&gt;&gt; ARMADURA NAS CALÇADAS ONDE HAVERÁ TRÁFEGO DE VEÍCULOS = 363,32M² X 2,2KG/M² = 799,30kg</t>
  </si>
  <si>
    <t>&gt;&gt; ÁREA DE ALVENARIA = 13,50M X 2,60M = 35,10m²</t>
  </si>
  <si>
    <t>&gt;&gt; EXTENSÃO = 13,50M X 2,60M X 0,02M = 0,71m³</t>
  </si>
  <si>
    <t>&gt;&gt; PINTURA EM TODA FACE EM CONTATO COM O SOLO = 13,50M X 2,60M = 35,10m²</t>
  </si>
  <si>
    <t>&gt;&gt; 0,095 X 2,60M  + 0,019 X 13,50M = 3,60m³</t>
  </si>
  <si>
    <t>&gt;&gt; 0,40 x 2,60M - 0,20M X 13,50M = 11,34m³</t>
  </si>
  <si>
    <t>&gt;&gt;  FACE INTERNA = 13,50M X 2,60M = 35,10m²</t>
  </si>
  <si>
    <t>FECHAMENTO EM MURO DE ARRIMO H=2,60m</t>
  </si>
  <si>
    <t>&gt;&gt; PILAR + CANALETA = 1,11M³ + 1,79M³ =2,90m²</t>
  </si>
  <si>
    <t>MURO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</si>
  <si>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</si>
  <si>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</si>
  <si>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</si>
  <si>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</si>
  <si>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</si>
  <si>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</si>
  <si>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</si>
  <si>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</si>
  <si>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</si>
  <si>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</si>
  <si>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</si>
  <si>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</si>
  <si>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</si>
  <si>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</si>
  <si>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</si>
  <si>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</si>
  <si>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</si>
  <si>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</si>
  <si>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Armadura em tela soldada de aço (10x10  - 4,2mm)</t>
  </si>
  <si>
    <t>&gt;&gt; FORMA PARA EXECUÇÃO DAS CALÇADAS = EXTENSÃO = 277M X 0,10M = 27,70m²</t>
  </si>
  <si>
    <t xml:space="preserve">FECHAMENTO EM MURO DE DIVISA H=2,70m + DRENAGEM </t>
  </si>
  <si>
    <t>PLANILHA ORÇAMENTÁRIA</t>
  </si>
  <si>
    <r>
      <t>Lastro de c</t>
    </r>
    <r>
      <rPr>
        <sz val="11"/>
        <color rgb="FF000000"/>
        <rFont val="Arial"/>
        <family val="2"/>
      </rPr>
      <t>oncreto não estrutural executado no local, mínimo 150 kg cimento / m³</t>
    </r>
  </si>
  <si>
    <t xml:space="preserve">OBRA: ADEQUAÇÃO DO CENTRO DE ZOONOSES MUNICIPAL </t>
  </si>
  <si>
    <t>LOCAL: RUA FRANCISCO SILVEIRA DINIZ - PARQUE INDUSTRIAL</t>
  </si>
  <si>
    <t>CÓD</t>
  </si>
  <si>
    <t>FONTE</t>
  </si>
  <si>
    <t>MATERIAL E MÃO DE OBRA</t>
  </si>
  <si>
    <t>UND</t>
  </si>
  <si>
    <t>QUANT</t>
  </si>
  <si>
    <t>P. UNITÁRIO</t>
  </si>
  <si>
    <t>P. TOTAL S/BDI</t>
  </si>
  <si>
    <t>P. UNIT C/    BDI: 29,79%</t>
  </si>
  <si>
    <t>P. TOTAL C/BDI</t>
  </si>
  <si>
    <t>3.1.19</t>
  </si>
  <si>
    <t>3.1.20</t>
  </si>
  <si>
    <t>3.1.21</t>
  </si>
  <si>
    <t>3.1.22</t>
  </si>
  <si>
    <t>3.1.23</t>
  </si>
  <si>
    <t>5.1</t>
  </si>
  <si>
    <t>DATA-BASE: TABELAS DESONERADAS</t>
  </si>
  <si>
    <t>LEIS SOCIAIS</t>
  </si>
  <si>
    <t>BDI</t>
  </si>
  <si>
    <t>CRONOGRAMA FÍSICO-FINANCEIRO</t>
  </si>
  <si>
    <t>DESCRIMINAÇÃO</t>
  </si>
  <si>
    <t>ETAPA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</si>
  <si>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</si>
  <si>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</si>
  <si>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</si>
  <si>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</si>
  <si>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</si>
  <si>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</si>
  <si>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</si>
  <si>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OBRA: ADEQUAÇÃO DO CENTRO DE ZOONOSES MUNICIPAL                                                                                  LOCAL: RUA FRANCISCO SILVEIRA DINIZ - PARQUE INDUSTRIAL</t>
  </si>
  <si>
    <t>PRAZO DA OBRA: 120 DIAS</t>
  </si>
  <si>
    <t>Obs.: 1 - Os prazos das etapas serão considerados a partir da data da assinatura da ordem de serviço inicial emitida pela prefeitura.</t>
  </si>
  <si>
    <t>&gt;&gt;</t>
  </si>
</sst>
</file>

<file path=xl/styles.xml><?xml version="1.0" encoding="utf-8"?>
<styleSheet xmlns="http://schemas.openxmlformats.org/spreadsheetml/2006/main">
  <numFmts count="5">
    <numFmt numFmtId="164" formatCode="_(* #,##0.00_);_(* \(#,##0.00\);_(* \-??_);_(@_)"/>
    <numFmt numFmtId="165" formatCode="dd/mm/yy"/>
    <numFmt numFmtId="166" formatCode="&quot;R$ &quot;#,##0.00"/>
    <numFmt numFmtId="167" formatCode="[$R$-416]\ #,##0.00;[Red]\-[$R$-416]\ #,##0.00"/>
    <numFmt numFmtId="168" formatCode="&quot;R$&quot;\ #,##0.00"/>
  </numFmts>
  <fonts count="23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6"/>
      <name val="Arial"/>
      <family val="2"/>
      <charset val="1"/>
    </font>
    <font>
      <b/>
      <sz val="12"/>
      <name val="Arial"/>
      <family val="2"/>
      <charset val="1"/>
    </font>
    <font>
      <b/>
      <sz val="14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sz val="9"/>
      <color rgb="FF000000"/>
      <name val="Arial"/>
      <family val="2"/>
      <charset val="1"/>
    </font>
    <font>
      <sz val="9"/>
      <name val="Arial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1"/>
      <charset val="1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003300"/>
      </patternFill>
    </fill>
    <fill>
      <patternFill patternType="solid">
        <fgColor theme="0" tint="-0.249977111117893"/>
        <bgColor rgb="FFBFBFBF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5">
    <xf numFmtId="0" fontId="0" fillId="0" borderId="0"/>
    <xf numFmtId="9" fontId="12" fillId="0" borderId="0" applyBorder="0" applyProtection="0"/>
    <xf numFmtId="0" fontId="1" fillId="0" borderId="0"/>
    <xf numFmtId="164" fontId="12" fillId="0" borderId="0" applyBorder="0" applyProtection="0"/>
    <xf numFmtId="0" fontId="21" fillId="0" borderId="0"/>
  </cellStyleXfs>
  <cellXfs count="158">
    <xf numFmtId="0" fontId="0" fillId="0" borderId="0" xfId="0"/>
    <xf numFmtId="0" fontId="0" fillId="0" borderId="0" xfId="0" applyBorder="1"/>
    <xf numFmtId="0" fontId="3" fillId="0" borderId="0" xfId="0" applyFont="1" applyBorder="1"/>
    <xf numFmtId="0" fontId="4" fillId="0" borderId="0" xfId="0" applyFont="1" applyBorder="1"/>
    <xf numFmtId="0" fontId="1" fillId="0" borderId="0" xfId="0" applyFont="1" applyBorder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166" fontId="8" fillId="0" borderId="5" xfId="0" applyNumberFormat="1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vertical="center"/>
    </xf>
    <xf numFmtId="166" fontId="8" fillId="0" borderId="5" xfId="0" applyNumberFormat="1" applyFont="1" applyFill="1" applyBorder="1" applyAlignment="1">
      <alignment vertical="center" wrapText="1"/>
    </xf>
    <xf numFmtId="166" fontId="10" fillId="0" borderId="5" xfId="0" applyNumberFormat="1" applyFont="1" applyFill="1" applyBorder="1" applyAlignment="1">
      <alignment vertical="center"/>
    </xf>
    <xf numFmtId="166" fontId="8" fillId="0" borderId="5" xfId="0" applyNumberFormat="1" applyFont="1" applyFill="1" applyBorder="1" applyAlignment="1">
      <alignment vertical="top" wrapText="1"/>
    </xf>
    <xf numFmtId="0" fontId="14" fillId="0" borderId="0" xfId="0" applyFont="1" applyBorder="1"/>
    <xf numFmtId="0" fontId="14" fillId="0" borderId="0" xfId="0" applyFont="1" applyBorder="1" applyAlignment="1">
      <alignment vertical="center"/>
    </xf>
    <xf numFmtId="0" fontId="14" fillId="0" borderId="0" xfId="0" applyFont="1"/>
    <xf numFmtId="0" fontId="16" fillId="0" borderId="0" xfId="0" applyFont="1" applyBorder="1"/>
    <xf numFmtId="0" fontId="16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/>
    </xf>
    <xf numFmtId="165" fontId="15" fillId="0" borderId="0" xfId="0" applyNumberFormat="1" applyFont="1" applyBorder="1" applyAlignment="1">
      <alignment horizontal="left"/>
    </xf>
    <xf numFmtId="0" fontId="16" fillId="0" borderId="2" xfId="0" applyFont="1" applyFill="1" applyBorder="1" applyAlignment="1">
      <alignment horizontal="center" vertical="center"/>
    </xf>
    <xf numFmtId="2" fontId="16" fillId="0" borderId="2" xfId="0" applyNumberFormat="1" applyFont="1" applyFill="1" applyBorder="1" applyAlignment="1">
      <alignment horizontal="center" vertical="center"/>
    </xf>
    <xf numFmtId="166" fontId="16" fillId="0" borderId="2" xfId="0" applyNumberFormat="1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167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6" fillId="0" borderId="2" xfId="2" applyFont="1" applyFill="1" applyBorder="1" applyAlignment="1">
      <alignment horizontal="center" vertical="center"/>
    </xf>
    <xf numFmtId="2" fontId="14" fillId="0" borderId="2" xfId="0" applyNumberFormat="1" applyFont="1" applyFill="1" applyBorder="1" applyAlignment="1">
      <alignment horizontal="center" vertical="center"/>
    </xf>
    <xf numFmtId="167" fontId="14" fillId="0" borderId="2" xfId="0" applyNumberFormat="1" applyFont="1" applyFill="1" applyBorder="1" applyAlignment="1">
      <alignment horizontal="center" vertical="center"/>
    </xf>
    <xf numFmtId="2" fontId="16" fillId="0" borderId="2" xfId="0" applyNumberFormat="1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 wrapText="1"/>
    </xf>
    <xf numFmtId="0" fontId="14" fillId="0" borderId="2" xfId="0" applyFont="1" applyFill="1" applyBorder="1"/>
    <xf numFmtId="0" fontId="16" fillId="0" borderId="2" xfId="2" applyFont="1" applyFill="1" applyBorder="1"/>
    <xf numFmtId="0" fontId="16" fillId="0" borderId="2" xfId="0" applyFont="1" applyFill="1" applyBorder="1" applyAlignment="1">
      <alignment horizontal="center" vertical="center" wrapText="1"/>
    </xf>
    <xf numFmtId="166" fontId="14" fillId="0" borderId="2" xfId="0" applyNumberFormat="1" applyFont="1" applyFill="1" applyBorder="1" applyAlignment="1">
      <alignment horizontal="center" vertical="center"/>
    </xf>
    <xf numFmtId="4" fontId="16" fillId="0" borderId="2" xfId="0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2" fontId="16" fillId="4" borderId="2" xfId="0" applyNumberFormat="1" applyFont="1" applyFill="1" applyBorder="1" applyAlignment="1">
      <alignment horizontal="center" vertical="center"/>
    </xf>
    <xf numFmtId="2" fontId="15" fillId="4" borderId="2" xfId="0" applyNumberFormat="1" applyFont="1" applyFill="1" applyBorder="1" applyAlignment="1">
      <alignment horizontal="center" vertical="center"/>
    </xf>
    <xf numFmtId="166" fontId="16" fillId="4" borderId="2" xfId="0" applyNumberFormat="1" applyFont="1" applyFill="1" applyBorder="1" applyAlignment="1">
      <alignment horizontal="center" vertical="center"/>
    </xf>
    <xf numFmtId="166" fontId="15" fillId="4" borderId="2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2" fillId="0" borderId="0" xfId="0" applyFont="1" applyBorder="1"/>
    <xf numFmtId="0" fontId="6" fillId="0" borderId="5" xfId="0" applyFont="1" applyFill="1" applyBorder="1" applyAlignment="1">
      <alignment vertical="center"/>
    </xf>
    <xf numFmtId="0" fontId="15" fillId="4" borderId="7" xfId="0" applyFont="1" applyFill="1" applyBorder="1" applyAlignment="1">
      <alignment vertical="center"/>
    </xf>
    <xf numFmtId="166" fontId="15" fillId="4" borderId="8" xfId="0" applyNumberFormat="1" applyFont="1" applyFill="1" applyBorder="1" applyAlignment="1">
      <alignment horizontal="center" vertical="center"/>
    </xf>
    <xf numFmtId="166" fontId="15" fillId="4" borderId="9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166" fontId="8" fillId="4" borderId="5" xfId="0" applyNumberFormat="1" applyFont="1" applyFill="1" applyBorder="1" applyAlignment="1">
      <alignment vertical="center"/>
    </xf>
    <xf numFmtId="0" fontId="0" fillId="0" borderId="0" xfId="0"/>
    <xf numFmtId="0" fontId="15" fillId="0" borderId="0" xfId="0" applyFont="1" applyBorder="1" applyAlignment="1"/>
    <xf numFmtId="0" fontId="16" fillId="0" borderId="2" xfId="0" applyFont="1" applyBorder="1" applyAlignment="1">
      <alignment horizontal="center"/>
    </xf>
    <xf numFmtId="10" fontId="14" fillId="0" borderId="2" xfId="1" applyNumberFormat="1" applyFont="1" applyBorder="1" applyAlignment="1">
      <alignment horizontal="center"/>
    </xf>
    <xf numFmtId="10" fontId="16" fillId="0" borderId="2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9" fillId="0" borderId="16" xfId="0" applyFont="1" applyFill="1" applyBorder="1"/>
    <xf numFmtId="0" fontId="18" fillId="0" borderId="18" xfId="0" applyFont="1" applyFill="1" applyBorder="1" applyAlignment="1">
      <alignment horizontal="center"/>
    </xf>
    <xf numFmtId="0" fontId="18" fillId="0" borderId="19" xfId="0" applyFont="1" applyFill="1" applyBorder="1" applyAlignment="1">
      <alignment wrapText="1"/>
    </xf>
    <xf numFmtId="0" fontId="18" fillId="0" borderId="1" xfId="0" applyFont="1" applyBorder="1" applyAlignment="1">
      <alignment horizontal="center"/>
    </xf>
    <xf numFmtId="0" fontId="19" fillId="0" borderId="0" xfId="0" applyFont="1"/>
    <xf numFmtId="0" fontId="20" fillId="0" borderId="0" xfId="0" applyFont="1"/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10" fontId="19" fillId="0" borderId="14" xfId="1" applyNumberFormat="1" applyFont="1" applyBorder="1" applyAlignment="1" applyProtection="1">
      <alignment horizontal="center" vertical="center"/>
    </xf>
    <xf numFmtId="10" fontId="19" fillId="0" borderId="2" xfId="1" applyNumberFormat="1" applyFont="1" applyBorder="1" applyAlignment="1" applyProtection="1">
      <alignment horizontal="center" vertical="center"/>
    </xf>
    <xf numFmtId="4" fontId="19" fillId="0" borderId="14" xfId="0" applyNumberFormat="1" applyFont="1" applyBorder="1" applyAlignment="1">
      <alignment horizontal="center" vertical="center"/>
    </xf>
    <xf numFmtId="4" fontId="19" fillId="0" borderId="2" xfId="0" applyNumberFormat="1" applyFont="1" applyBorder="1" applyAlignment="1">
      <alignment horizontal="center" vertical="center"/>
    </xf>
    <xf numFmtId="0" fontId="19" fillId="0" borderId="23" xfId="0" applyFont="1" applyBorder="1" applyAlignment="1">
      <alignment horizontal="center"/>
    </xf>
    <xf numFmtId="10" fontId="19" fillId="0" borderId="15" xfId="1" applyNumberFormat="1" applyFont="1" applyBorder="1" applyAlignment="1" applyProtection="1">
      <alignment horizontal="center" vertical="center"/>
    </xf>
    <xf numFmtId="10" fontId="19" fillId="0" borderId="16" xfId="1" applyNumberFormat="1" applyFont="1" applyBorder="1" applyAlignment="1" applyProtection="1">
      <alignment horizontal="center" vertical="center"/>
    </xf>
    <xf numFmtId="0" fontId="18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10" fontId="19" fillId="0" borderId="0" xfId="1" applyNumberFormat="1" applyFont="1" applyBorder="1" applyAlignment="1" applyProtection="1">
      <alignment horizontal="center" vertical="center"/>
    </xf>
    <xf numFmtId="0" fontId="20" fillId="0" borderId="0" xfId="0" applyFont="1" applyBorder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/>
    </xf>
    <xf numFmtId="168" fontId="18" fillId="0" borderId="19" xfId="0" applyNumberFormat="1" applyFont="1" applyFill="1" applyBorder="1" applyAlignment="1">
      <alignment horizontal="center" vertical="center"/>
    </xf>
    <xf numFmtId="168" fontId="0" fillId="0" borderId="0" xfId="0" applyNumberFormat="1"/>
    <xf numFmtId="0" fontId="18" fillId="0" borderId="24" xfId="0" applyFont="1" applyFill="1" applyBorder="1" applyAlignment="1">
      <alignment horizontal="center"/>
    </xf>
    <xf numFmtId="168" fontId="18" fillId="0" borderId="6" xfId="0" applyNumberFormat="1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/>
    </xf>
    <xf numFmtId="0" fontId="22" fillId="5" borderId="12" xfId="0" applyFont="1" applyFill="1" applyBorder="1" applyAlignment="1">
      <alignment horizontal="center"/>
    </xf>
    <xf numFmtId="0" fontId="22" fillId="5" borderId="12" xfId="0" applyFont="1" applyFill="1" applyBorder="1" applyAlignment="1">
      <alignment horizontal="center" vertical="center"/>
    </xf>
    <xf numFmtId="0" fontId="22" fillId="5" borderId="13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wrapText="1"/>
    </xf>
    <xf numFmtId="0" fontId="18" fillId="0" borderId="19" xfId="0" applyFont="1" applyFill="1" applyBorder="1"/>
    <xf numFmtId="166" fontId="18" fillId="6" borderId="10" xfId="0" applyNumberFormat="1" applyFont="1" applyFill="1" applyBorder="1" applyAlignment="1">
      <alignment horizontal="center" vertical="center"/>
    </xf>
    <xf numFmtId="166" fontId="18" fillId="6" borderId="14" xfId="0" applyNumberFormat="1" applyFont="1" applyFill="1" applyBorder="1" applyAlignment="1">
      <alignment horizontal="center" vertical="center"/>
    </xf>
    <xf numFmtId="166" fontId="18" fillId="6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168" fontId="18" fillId="0" borderId="19" xfId="1" applyNumberFormat="1" applyFont="1" applyFill="1" applyBorder="1" applyAlignment="1" applyProtection="1">
      <alignment horizontal="center" vertical="center"/>
    </xf>
    <xf numFmtId="168" fontId="19" fillId="0" borderId="19" xfId="1" applyNumberFormat="1" applyFont="1" applyFill="1" applyBorder="1" applyAlignment="1" applyProtection="1">
      <alignment horizontal="right" vertical="center"/>
    </xf>
    <xf numFmtId="168" fontId="19" fillId="0" borderId="20" xfId="1" applyNumberFormat="1" applyFont="1" applyFill="1" applyBorder="1" applyAlignment="1" applyProtection="1">
      <alignment horizontal="right" vertical="center"/>
    </xf>
    <xf numFmtId="168" fontId="19" fillId="0" borderId="19" xfId="0" applyNumberFormat="1" applyFont="1" applyFill="1" applyBorder="1" applyAlignment="1">
      <alignment horizontal="right" vertical="center"/>
    </xf>
    <xf numFmtId="168" fontId="18" fillId="0" borderId="20" xfId="0" applyNumberFormat="1" applyFont="1" applyFill="1" applyBorder="1" applyAlignment="1">
      <alignment horizontal="right" vertical="center"/>
    </xf>
    <xf numFmtId="168" fontId="18" fillId="0" borderId="19" xfId="0" applyNumberFormat="1" applyFont="1" applyFill="1" applyBorder="1" applyAlignment="1">
      <alignment horizontal="right" vertical="center"/>
    </xf>
    <xf numFmtId="168" fontId="20" fillId="0" borderId="19" xfId="1" applyNumberFormat="1" applyFont="1" applyFill="1" applyBorder="1" applyAlignment="1">
      <alignment horizontal="right"/>
    </xf>
    <xf numFmtId="168" fontId="20" fillId="0" borderId="20" xfId="1" applyNumberFormat="1" applyFont="1" applyFill="1" applyBorder="1" applyAlignment="1">
      <alignment horizontal="right"/>
    </xf>
    <xf numFmtId="168" fontId="18" fillId="0" borderId="6" xfId="0" applyNumberFormat="1" applyFont="1" applyFill="1" applyBorder="1" applyAlignment="1">
      <alignment horizontal="right" vertical="center"/>
    </xf>
    <xf numFmtId="168" fontId="19" fillId="0" borderId="25" xfId="0" applyNumberFormat="1" applyFont="1" applyFill="1" applyBorder="1" applyAlignment="1">
      <alignment horizontal="right" vertical="center"/>
    </xf>
    <xf numFmtId="168" fontId="19" fillId="0" borderId="19" xfId="0" applyNumberFormat="1" applyFont="1" applyFill="1" applyBorder="1" applyAlignment="1">
      <alignment horizontal="right"/>
    </xf>
    <xf numFmtId="10" fontId="19" fillId="0" borderId="16" xfId="1" applyNumberFormat="1" applyFont="1" applyBorder="1" applyAlignment="1" applyProtection="1">
      <alignment horizontal="center"/>
    </xf>
    <xf numFmtId="10" fontId="19" fillId="0" borderId="16" xfId="1" applyNumberFormat="1" applyFont="1" applyBorder="1" applyAlignment="1">
      <alignment horizontal="right"/>
    </xf>
    <xf numFmtId="10" fontId="19" fillId="0" borderId="17" xfId="1" applyNumberFormat="1" applyFont="1" applyBorder="1" applyAlignment="1">
      <alignment horizontal="right"/>
    </xf>
    <xf numFmtId="0" fontId="16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/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5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/>
    </xf>
    <xf numFmtId="0" fontId="15" fillId="4" borderId="2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165" fontId="15" fillId="0" borderId="0" xfId="0" applyNumberFormat="1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9" fillId="0" borderId="0" xfId="4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2" borderId="0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left" vertical="center"/>
    </xf>
  </cellXfs>
  <cellStyles count="5">
    <cellStyle name="Normal" xfId="0" builtinId="0"/>
    <cellStyle name="Normal 2" xfId="2"/>
    <cellStyle name="Normal 27" xfId="4"/>
    <cellStyle name="Porcentagem" xfId="1" builtinId="5"/>
    <cellStyle name="Vírgula 5 2" xf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A0D04C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342360</xdr:colOff>
      <xdr:row>0</xdr:row>
      <xdr:rowOff>169350</xdr:rowOff>
    </xdr:from>
    <xdr:to>
      <xdr:col>16</xdr:col>
      <xdr:colOff>209355</xdr:colOff>
      <xdr:row>4</xdr:row>
      <xdr:rowOff>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23385" y="169350"/>
          <a:ext cx="10449270" cy="66885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294735</xdr:colOff>
      <xdr:row>1</xdr:row>
      <xdr:rowOff>45525</xdr:rowOff>
    </xdr:from>
    <xdr:to>
      <xdr:col>17</xdr:col>
      <xdr:colOff>3190680</xdr:colOff>
      <xdr:row>4</xdr:row>
      <xdr:rowOff>66675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875760" y="236025"/>
          <a:ext cx="10449270" cy="66885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66674</xdr:rowOff>
    </xdr:from>
    <xdr:to>
      <xdr:col>4</xdr:col>
      <xdr:colOff>1041400</xdr:colOff>
      <xdr:row>1</xdr:row>
      <xdr:rowOff>514349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647700" y="66674"/>
          <a:ext cx="7372350" cy="63817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1"/>
  <sheetViews>
    <sheetView view="pageBreakPreview" topLeftCell="A70" zoomScaleNormal="100" zoomScaleSheetLayoutView="100" workbookViewId="0">
      <selection activeCell="Q15" activeCellId="5" sqref="Q82 Q69:Q79 Q44:Q66 Q19:Q40 Q16 Q15"/>
    </sheetView>
  </sheetViews>
  <sheetFormatPr defaultRowHeight="15"/>
  <cols>
    <col min="1" max="1" width="8.7109375" customWidth="1"/>
    <col min="2" max="2" width="10.140625" bestFit="1" customWidth="1"/>
    <col min="3" max="3" width="9.7109375" customWidth="1"/>
    <col min="4" max="10" width="8.7109375" customWidth="1"/>
    <col min="11" max="11" width="13.140625" customWidth="1"/>
    <col min="12" max="12" width="9.140625" customWidth="1"/>
    <col min="13" max="13" width="10.140625" customWidth="1"/>
    <col min="14" max="14" width="15.28515625" customWidth="1"/>
    <col min="15" max="15" width="15" customWidth="1"/>
    <col min="16" max="16" width="15.140625" customWidth="1"/>
    <col min="17" max="17" width="16.5703125" customWidth="1"/>
    <col min="18" max="18" width="13.85546875" customWidth="1"/>
    <col min="19" max="19" width="8.7109375" customWidth="1"/>
    <col min="20" max="20" width="16.140625" customWidth="1"/>
    <col min="21" max="1021" width="8.7109375" customWidth="1"/>
    <col min="1022" max="1023" width="11.5703125" customWidth="1"/>
  </cols>
  <sheetData>
    <row r="1" spans="1:18">
      <c r="A1" s="49"/>
      <c r="B1" s="49"/>
      <c r="C1" s="4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"/>
      <c r="B2" s="1"/>
      <c r="C2" s="1"/>
      <c r="D2" s="1"/>
      <c r="E2" s="2"/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1"/>
    </row>
    <row r="3" spans="1:18" ht="18">
      <c r="A3" s="1"/>
      <c r="B3" s="1"/>
      <c r="C3" s="1"/>
      <c r="D3" s="1"/>
      <c r="E3" s="2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1"/>
    </row>
    <row r="4" spans="1:18">
      <c r="A4" s="1"/>
      <c r="B4" s="1"/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1"/>
    </row>
    <row r="5" spans="1:18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"/>
    </row>
    <row r="6" spans="1:18" ht="18.75" customHeight="1">
      <c r="A6" s="122" t="s">
        <v>210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"/>
    </row>
    <row r="7" spans="1:18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"/>
    </row>
    <row r="8" spans="1:18">
      <c r="A8" s="13"/>
      <c r="B8" s="13"/>
      <c r="C8" s="13"/>
      <c r="D8" s="13"/>
      <c r="E8" s="13"/>
      <c r="F8" s="16"/>
      <c r="G8" s="16"/>
      <c r="H8" s="16"/>
      <c r="I8" s="16"/>
      <c r="J8" s="16"/>
      <c r="K8" s="16"/>
      <c r="L8" s="16"/>
      <c r="M8" s="16"/>
      <c r="N8" s="16"/>
      <c r="O8" s="145" t="s">
        <v>229</v>
      </c>
      <c r="P8" s="145"/>
      <c r="Q8" s="145"/>
    </row>
    <row r="9" spans="1:18">
      <c r="A9" s="146" t="s">
        <v>212</v>
      </c>
      <c r="B9" s="146"/>
      <c r="C9" s="146"/>
      <c r="D9" s="146"/>
      <c r="E9" s="146"/>
      <c r="F9" s="146"/>
      <c r="G9" s="146"/>
      <c r="H9" s="146"/>
      <c r="I9" s="146"/>
      <c r="J9" s="146"/>
      <c r="K9" s="57"/>
      <c r="L9" s="57"/>
      <c r="M9" s="57"/>
      <c r="N9" s="57"/>
      <c r="O9" s="145" t="s">
        <v>4</v>
      </c>
      <c r="P9" s="145"/>
      <c r="Q9" s="58">
        <v>183</v>
      </c>
    </row>
    <row r="10" spans="1:18">
      <c r="A10" s="146" t="s">
        <v>213</v>
      </c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7"/>
      <c r="M10" s="147"/>
      <c r="N10" s="147"/>
      <c r="O10" s="145" t="s">
        <v>230</v>
      </c>
      <c r="P10" s="145"/>
      <c r="Q10" s="59">
        <v>0.9778</v>
      </c>
    </row>
    <row r="11" spans="1:18" s="56" customForma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9"/>
      <c r="M11" s="19"/>
      <c r="N11" s="19"/>
      <c r="O11" s="145" t="s">
        <v>231</v>
      </c>
      <c r="P11" s="145"/>
      <c r="Q11" s="60">
        <v>0.2979</v>
      </c>
    </row>
    <row r="12" spans="1:18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  <c r="M12" s="19"/>
      <c r="N12" s="19"/>
      <c r="O12" s="16"/>
      <c r="P12" s="16"/>
    </row>
    <row r="13" spans="1:18" ht="30">
      <c r="A13" s="37" t="s">
        <v>138</v>
      </c>
      <c r="B13" s="37" t="s">
        <v>214</v>
      </c>
      <c r="C13" s="37" t="s">
        <v>215</v>
      </c>
      <c r="D13" s="141" t="s">
        <v>216</v>
      </c>
      <c r="E13" s="141"/>
      <c r="F13" s="141"/>
      <c r="G13" s="141"/>
      <c r="H13" s="141"/>
      <c r="I13" s="141"/>
      <c r="J13" s="141"/>
      <c r="K13" s="141"/>
      <c r="L13" s="37" t="s">
        <v>217</v>
      </c>
      <c r="M13" s="37" t="s">
        <v>218</v>
      </c>
      <c r="N13" s="37" t="s">
        <v>219</v>
      </c>
      <c r="O13" s="38" t="s">
        <v>220</v>
      </c>
      <c r="P13" s="38" t="s">
        <v>221</v>
      </c>
      <c r="Q13" s="38" t="s">
        <v>222</v>
      </c>
    </row>
    <row r="14" spans="1:18">
      <c r="A14" s="40">
        <v>1</v>
      </c>
      <c r="B14" s="40"/>
      <c r="C14" s="40"/>
      <c r="D14" s="137" t="s">
        <v>1</v>
      </c>
      <c r="E14" s="137"/>
      <c r="F14" s="137"/>
      <c r="G14" s="137"/>
      <c r="H14" s="137"/>
      <c r="I14" s="137"/>
      <c r="J14" s="137"/>
      <c r="K14" s="137"/>
      <c r="L14" s="40"/>
      <c r="M14" s="40"/>
      <c r="N14" s="40"/>
      <c r="O14" s="40"/>
      <c r="P14" s="40"/>
      <c r="Q14" s="40"/>
    </row>
    <row r="15" spans="1:18">
      <c r="A15" s="20" t="s">
        <v>2</v>
      </c>
      <c r="B15" s="20" t="s">
        <v>3</v>
      </c>
      <c r="C15" s="20" t="s">
        <v>4</v>
      </c>
      <c r="D15" s="124" t="s">
        <v>5</v>
      </c>
      <c r="E15" s="124"/>
      <c r="F15" s="124"/>
      <c r="G15" s="124"/>
      <c r="H15" s="124"/>
      <c r="I15" s="124"/>
      <c r="J15" s="124"/>
      <c r="K15" s="124"/>
      <c r="L15" s="20" t="s">
        <v>6</v>
      </c>
      <c r="M15" s="21">
        <v>2.88</v>
      </c>
      <c r="N15" s="22">
        <v>621.08000000000004</v>
      </c>
      <c r="O15" s="22">
        <f>M15*N15</f>
        <v>1788.7104000000002</v>
      </c>
      <c r="P15" s="22">
        <f>N15*1.2979</f>
        <v>806.09973200000013</v>
      </c>
      <c r="Q15" s="22">
        <f>M15*P15</f>
        <v>2321.5672281600005</v>
      </c>
    </row>
    <row r="16" spans="1:18">
      <c r="A16" s="20" t="s">
        <v>8</v>
      </c>
      <c r="B16" s="20" t="s">
        <v>9</v>
      </c>
      <c r="C16" s="20" t="s">
        <v>4</v>
      </c>
      <c r="D16" s="124" t="s">
        <v>10</v>
      </c>
      <c r="E16" s="124"/>
      <c r="F16" s="124"/>
      <c r="G16" s="124"/>
      <c r="H16" s="124"/>
      <c r="I16" s="124"/>
      <c r="J16" s="124"/>
      <c r="K16" s="124"/>
      <c r="L16" s="20" t="s">
        <v>11</v>
      </c>
      <c r="M16" s="21">
        <v>4</v>
      </c>
      <c r="N16" s="22">
        <v>559.67999999999995</v>
      </c>
      <c r="O16" s="22">
        <f>M16*N16</f>
        <v>2238.7199999999998</v>
      </c>
      <c r="P16" s="22">
        <f>N16*1.2979</f>
        <v>726.40867199999991</v>
      </c>
      <c r="Q16" s="22">
        <f>M16*P16</f>
        <v>2905.6346879999996</v>
      </c>
    </row>
    <row r="17" spans="1:17">
      <c r="A17" s="142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4"/>
      <c r="O17" s="23">
        <f>SUM(O15:O16)</f>
        <v>4027.4304000000002</v>
      </c>
      <c r="Q17" s="23">
        <f>SUM(Q15:Q16)</f>
        <v>5227.2019161600001</v>
      </c>
    </row>
    <row r="18" spans="1:17" ht="13.9" customHeight="1">
      <c r="A18" s="40">
        <v>2</v>
      </c>
      <c r="B18" s="40"/>
      <c r="C18" s="40"/>
      <c r="D18" s="125" t="s">
        <v>186</v>
      </c>
      <c r="E18" s="125"/>
      <c r="F18" s="125"/>
      <c r="G18" s="125"/>
      <c r="H18" s="125"/>
      <c r="I18" s="125"/>
      <c r="J18" s="125"/>
      <c r="K18" s="125"/>
      <c r="L18" s="41"/>
      <c r="M18" s="42"/>
      <c r="N18" s="43"/>
      <c r="O18" s="44"/>
      <c r="P18" s="45"/>
      <c r="Q18" s="44"/>
    </row>
    <row r="19" spans="1:17">
      <c r="A19" s="20" t="s">
        <v>13</v>
      </c>
      <c r="B19" s="20" t="s">
        <v>14</v>
      </c>
      <c r="C19" s="20" t="s">
        <v>4</v>
      </c>
      <c r="D19" s="128" t="s">
        <v>15</v>
      </c>
      <c r="E19" s="128"/>
      <c r="F19" s="128"/>
      <c r="G19" s="128"/>
      <c r="H19" s="128"/>
      <c r="I19" s="128"/>
      <c r="J19" s="128"/>
      <c r="K19" s="128"/>
      <c r="L19" s="20" t="s">
        <v>16</v>
      </c>
      <c r="M19" s="21">
        <v>1</v>
      </c>
      <c r="N19" s="24">
        <v>1767.99</v>
      </c>
      <c r="O19" s="22">
        <f t="shared" ref="O19:O40" si="0">M19*N19</f>
        <v>1767.99</v>
      </c>
      <c r="P19" s="22">
        <f t="shared" ref="P19:P39" si="1">N19*1.2979</f>
        <v>2294.6742210000002</v>
      </c>
      <c r="Q19" s="22">
        <f t="shared" ref="Q19:Q40" si="2">M19*P19</f>
        <v>2294.6742210000002</v>
      </c>
    </row>
    <row r="20" spans="1:17">
      <c r="A20" s="20" t="s">
        <v>18</v>
      </c>
      <c r="B20" s="20" t="s">
        <v>19</v>
      </c>
      <c r="C20" s="20" t="s">
        <v>4</v>
      </c>
      <c r="D20" s="124" t="s">
        <v>20</v>
      </c>
      <c r="E20" s="124"/>
      <c r="F20" s="124"/>
      <c r="G20" s="124"/>
      <c r="H20" s="124"/>
      <c r="I20" s="124"/>
      <c r="J20" s="124"/>
      <c r="K20" s="124"/>
      <c r="L20" s="20" t="s">
        <v>21</v>
      </c>
      <c r="M20" s="21">
        <v>13.5</v>
      </c>
      <c r="N20" s="22">
        <v>1.06</v>
      </c>
      <c r="O20" s="22">
        <f t="shared" si="0"/>
        <v>14.31</v>
      </c>
      <c r="P20" s="22">
        <f t="shared" si="1"/>
        <v>1.3757740000000001</v>
      </c>
      <c r="Q20" s="22">
        <f t="shared" si="2"/>
        <v>18.572949000000001</v>
      </c>
    </row>
    <row r="21" spans="1:17" ht="28.5" customHeight="1">
      <c r="A21" s="20" t="s">
        <v>23</v>
      </c>
      <c r="B21" s="20" t="s">
        <v>24</v>
      </c>
      <c r="C21" s="20" t="s">
        <v>4</v>
      </c>
      <c r="D21" s="138" t="s">
        <v>25</v>
      </c>
      <c r="E21" s="139"/>
      <c r="F21" s="139"/>
      <c r="G21" s="139"/>
      <c r="H21" s="139"/>
      <c r="I21" s="139"/>
      <c r="J21" s="139"/>
      <c r="K21" s="140"/>
      <c r="L21" s="20" t="s">
        <v>26</v>
      </c>
      <c r="M21" s="21">
        <v>3.23</v>
      </c>
      <c r="N21" s="22">
        <v>58.08</v>
      </c>
      <c r="O21" s="22">
        <f t="shared" si="0"/>
        <v>187.5984</v>
      </c>
      <c r="P21" s="22">
        <f t="shared" si="1"/>
        <v>75.382031999999995</v>
      </c>
      <c r="Q21" s="22">
        <f t="shared" si="2"/>
        <v>243.48396335999999</v>
      </c>
    </row>
    <row r="22" spans="1:17" s="5" customFormat="1" ht="28.5" customHeight="1">
      <c r="A22" s="20" t="s">
        <v>28</v>
      </c>
      <c r="B22" s="20" t="s">
        <v>29</v>
      </c>
      <c r="C22" s="20" t="s">
        <v>4</v>
      </c>
      <c r="D22" s="127" t="s">
        <v>30</v>
      </c>
      <c r="E22" s="127"/>
      <c r="F22" s="127"/>
      <c r="G22" s="127"/>
      <c r="H22" s="127"/>
      <c r="I22" s="127"/>
      <c r="J22" s="127"/>
      <c r="K22" s="127"/>
      <c r="L22" s="20" t="s">
        <v>26</v>
      </c>
      <c r="M22" s="21">
        <f>M20*2*1.7</f>
        <v>45.9</v>
      </c>
      <c r="N22" s="22">
        <v>19.11</v>
      </c>
      <c r="O22" s="22">
        <f t="shared" si="0"/>
        <v>877.149</v>
      </c>
      <c r="P22" s="22">
        <f t="shared" si="1"/>
        <v>24.802869000000001</v>
      </c>
      <c r="Q22" s="22">
        <f t="shared" si="2"/>
        <v>1138.4516871000001</v>
      </c>
    </row>
    <row r="23" spans="1:17" s="6" customFormat="1" ht="30" customHeight="1">
      <c r="A23" s="20" t="s">
        <v>31</v>
      </c>
      <c r="B23" s="25" t="s">
        <v>32</v>
      </c>
      <c r="C23" s="20" t="s">
        <v>4</v>
      </c>
      <c r="D23" s="129" t="s">
        <v>33</v>
      </c>
      <c r="E23" s="129"/>
      <c r="F23" s="129"/>
      <c r="G23" s="129"/>
      <c r="H23" s="129"/>
      <c r="I23" s="129"/>
      <c r="J23" s="129"/>
      <c r="K23" s="129"/>
      <c r="L23" s="20" t="s">
        <v>26</v>
      </c>
      <c r="M23" s="21">
        <f>M20*1.3*1.7</f>
        <v>29.835000000000001</v>
      </c>
      <c r="N23" s="22">
        <v>5.18</v>
      </c>
      <c r="O23" s="22">
        <f t="shared" si="0"/>
        <v>154.5453</v>
      </c>
      <c r="P23" s="22">
        <f t="shared" si="1"/>
        <v>6.723122</v>
      </c>
      <c r="Q23" s="22">
        <f t="shared" si="2"/>
        <v>200.58434487</v>
      </c>
    </row>
    <row r="24" spans="1:17" s="5" customFormat="1" ht="26.25" customHeight="1">
      <c r="A24" s="20" t="s">
        <v>34</v>
      </c>
      <c r="B24" s="26" t="s">
        <v>35</v>
      </c>
      <c r="C24" s="20" t="s">
        <v>4</v>
      </c>
      <c r="D24" s="129" t="s">
        <v>36</v>
      </c>
      <c r="E24" s="129"/>
      <c r="F24" s="129"/>
      <c r="G24" s="129"/>
      <c r="H24" s="129"/>
      <c r="I24" s="129"/>
      <c r="J24" s="129"/>
      <c r="K24" s="129"/>
      <c r="L24" s="20" t="s">
        <v>26</v>
      </c>
      <c r="M24" s="21">
        <f>M21</f>
        <v>3.23</v>
      </c>
      <c r="N24" s="22">
        <v>12.03</v>
      </c>
      <c r="O24" s="22">
        <f t="shared" si="0"/>
        <v>38.856899999999996</v>
      </c>
      <c r="P24" s="22">
        <f t="shared" si="1"/>
        <v>15.613737</v>
      </c>
      <c r="Q24" s="22">
        <f t="shared" si="2"/>
        <v>50.432370509999998</v>
      </c>
    </row>
    <row r="25" spans="1:17">
      <c r="A25" s="20" t="s">
        <v>37</v>
      </c>
      <c r="B25" s="27" t="s">
        <v>38</v>
      </c>
      <c r="C25" s="20" t="s">
        <v>4</v>
      </c>
      <c r="D25" s="124" t="s">
        <v>39</v>
      </c>
      <c r="E25" s="124"/>
      <c r="F25" s="124"/>
      <c r="G25" s="124"/>
      <c r="H25" s="124"/>
      <c r="I25" s="124"/>
      <c r="J25" s="124"/>
      <c r="K25" s="124"/>
      <c r="L25" s="20" t="s">
        <v>21</v>
      </c>
      <c r="M25" s="28">
        <v>60</v>
      </c>
      <c r="N25" s="22">
        <v>60.77</v>
      </c>
      <c r="O25" s="22">
        <f t="shared" si="0"/>
        <v>3646.2000000000003</v>
      </c>
      <c r="P25" s="22">
        <f t="shared" si="1"/>
        <v>78.873383000000004</v>
      </c>
      <c r="Q25" s="22">
        <f t="shared" si="2"/>
        <v>4732.4029799999998</v>
      </c>
    </row>
    <row r="26" spans="1:17">
      <c r="A26" s="20" t="s">
        <v>40</v>
      </c>
      <c r="B26" s="27" t="s">
        <v>41</v>
      </c>
      <c r="C26" s="20" t="s">
        <v>4</v>
      </c>
      <c r="D26" s="124" t="s">
        <v>42</v>
      </c>
      <c r="E26" s="124"/>
      <c r="F26" s="124"/>
      <c r="G26" s="124"/>
      <c r="H26" s="124"/>
      <c r="I26" s="124"/>
      <c r="J26" s="124"/>
      <c r="K26" s="124"/>
      <c r="L26" s="22" t="s">
        <v>6</v>
      </c>
      <c r="M26" s="21">
        <v>10.220000000000001</v>
      </c>
      <c r="N26" s="29">
        <v>75.25</v>
      </c>
      <c r="O26" s="22">
        <f t="shared" si="0"/>
        <v>769.05500000000006</v>
      </c>
      <c r="P26" s="22">
        <f t="shared" si="1"/>
        <v>97.666975000000008</v>
      </c>
      <c r="Q26" s="22">
        <f t="shared" si="2"/>
        <v>998.15648450000015</v>
      </c>
    </row>
    <row r="27" spans="1:17" ht="35.25" customHeight="1">
      <c r="A27" s="20" t="s">
        <v>43</v>
      </c>
      <c r="B27" s="30" t="s">
        <v>44</v>
      </c>
      <c r="C27" s="20" t="s">
        <v>4</v>
      </c>
      <c r="D27" s="138" t="s">
        <v>211</v>
      </c>
      <c r="E27" s="139"/>
      <c r="F27" s="139"/>
      <c r="G27" s="139"/>
      <c r="H27" s="139"/>
      <c r="I27" s="139"/>
      <c r="J27" s="139"/>
      <c r="K27" s="140"/>
      <c r="L27" s="20" t="s">
        <v>26</v>
      </c>
      <c r="M27" s="21">
        <f>M20*0.055</f>
        <v>0.74250000000000005</v>
      </c>
      <c r="N27" s="22">
        <v>277.19</v>
      </c>
      <c r="O27" s="22">
        <f t="shared" si="0"/>
        <v>205.81357500000001</v>
      </c>
      <c r="P27" s="22">
        <f t="shared" si="1"/>
        <v>359.76490100000001</v>
      </c>
      <c r="Q27" s="22">
        <f t="shared" si="2"/>
        <v>267.12543899250005</v>
      </c>
    </row>
    <row r="28" spans="1:17" ht="29.25" customHeight="1">
      <c r="A28" s="20" t="s">
        <v>50</v>
      </c>
      <c r="B28" s="31" t="s">
        <v>47</v>
      </c>
      <c r="C28" s="20" t="s">
        <v>4</v>
      </c>
      <c r="D28" s="124" t="s">
        <v>48</v>
      </c>
      <c r="E28" s="124"/>
      <c r="F28" s="124"/>
      <c r="G28" s="124"/>
      <c r="H28" s="124"/>
      <c r="I28" s="124"/>
      <c r="J28" s="124"/>
      <c r="K28" s="124"/>
      <c r="L28" s="20" t="s">
        <v>26</v>
      </c>
      <c r="M28" s="21">
        <f>M20*0.275</f>
        <v>3.7125000000000004</v>
      </c>
      <c r="N28" s="22">
        <v>359.52</v>
      </c>
      <c r="O28" s="22">
        <f t="shared" si="0"/>
        <v>1334.7180000000001</v>
      </c>
      <c r="P28" s="22">
        <f t="shared" si="1"/>
        <v>466.62100800000002</v>
      </c>
      <c r="Q28" s="22">
        <f t="shared" si="2"/>
        <v>1732.3304922000002</v>
      </c>
    </row>
    <row r="29" spans="1:17" s="7" customFormat="1" ht="14.25">
      <c r="A29" s="20" t="s">
        <v>46</v>
      </c>
      <c r="B29" s="32" t="s">
        <v>51</v>
      </c>
      <c r="C29" s="20" t="s">
        <v>4</v>
      </c>
      <c r="D29" s="124" t="s">
        <v>52</v>
      </c>
      <c r="E29" s="124"/>
      <c r="F29" s="124"/>
      <c r="G29" s="124"/>
      <c r="H29" s="124"/>
      <c r="I29" s="124"/>
      <c r="J29" s="124"/>
      <c r="K29" s="124"/>
      <c r="L29" s="20" t="s">
        <v>26</v>
      </c>
      <c r="M29" s="21">
        <v>4.45</v>
      </c>
      <c r="N29" s="22">
        <v>122.4</v>
      </c>
      <c r="O29" s="22">
        <f t="shared" si="0"/>
        <v>544.68000000000006</v>
      </c>
      <c r="P29" s="22">
        <f t="shared" si="1"/>
        <v>158.86296000000002</v>
      </c>
      <c r="Q29" s="22">
        <f t="shared" si="2"/>
        <v>706.94017200000008</v>
      </c>
    </row>
    <row r="30" spans="1:17">
      <c r="A30" s="20" t="s">
        <v>54</v>
      </c>
      <c r="B30" s="27" t="s">
        <v>55</v>
      </c>
      <c r="C30" s="20" t="s">
        <v>4</v>
      </c>
      <c r="D30" s="124" t="s">
        <v>56</v>
      </c>
      <c r="E30" s="124"/>
      <c r="F30" s="124"/>
      <c r="G30" s="124"/>
      <c r="H30" s="124"/>
      <c r="I30" s="124"/>
      <c r="J30" s="124"/>
      <c r="K30" s="124"/>
      <c r="L30" s="20" t="s">
        <v>57</v>
      </c>
      <c r="M30" s="21">
        <f>(6.6*2.4+17.21)*M20</f>
        <v>446.17499999999995</v>
      </c>
      <c r="N30" s="22">
        <v>12.65</v>
      </c>
      <c r="O30" s="22">
        <f t="shared" si="0"/>
        <v>5644.1137499999995</v>
      </c>
      <c r="P30" s="22">
        <f t="shared" si="1"/>
        <v>16.418435000000002</v>
      </c>
      <c r="Q30" s="22">
        <f t="shared" si="2"/>
        <v>7325.4952361250007</v>
      </c>
    </row>
    <row r="31" spans="1:17" s="5" customFormat="1">
      <c r="A31" s="20" t="s">
        <v>148</v>
      </c>
      <c r="B31" s="33" t="s">
        <v>59</v>
      </c>
      <c r="C31" s="20" t="s">
        <v>4</v>
      </c>
      <c r="D31" s="136" t="s">
        <v>60</v>
      </c>
      <c r="E31" s="136"/>
      <c r="F31" s="136"/>
      <c r="G31" s="136"/>
      <c r="H31" s="136"/>
      <c r="I31" s="136"/>
      <c r="J31" s="136"/>
      <c r="K31" s="136"/>
      <c r="L31" s="20" t="s">
        <v>6</v>
      </c>
      <c r="M31" s="21">
        <v>35.1</v>
      </c>
      <c r="N31" s="22">
        <v>103.41</v>
      </c>
      <c r="O31" s="22">
        <f t="shared" si="0"/>
        <v>3629.6909999999998</v>
      </c>
      <c r="P31" s="22">
        <f t="shared" si="1"/>
        <v>134.21583899999999</v>
      </c>
      <c r="Q31" s="22">
        <f t="shared" si="2"/>
        <v>4710.9759488999998</v>
      </c>
    </row>
    <row r="32" spans="1:17" s="5" customFormat="1">
      <c r="A32" s="20" t="s">
        <v>58</v>
      </c>
      <c r="B32" s="33" t="s">
        <v>62</v>
      </c>
      <c r="C32" s="20" t="s">
        <v>4</v>
      </c>
      <c r="D32" s="128" t="s">
        <v>63</v>
      </c>
      <c r="E32" s="128"/>
      <c r="F32" s="128"/>
      <c r="G32" s="128"/>
      <c r="H32" s="128"/>
      <c r="I32" s="128"/>
      <c r="J32" s="128"/>
      <c r="K32" s="128"/>
      <c r="L32" s="20" t="s">
        <v>26</v>
      </c>
      <c r="M32" s="21">
        <v>0.71</v>
      </c>
      <c r="N32" s="22">
        <v>655.03</v>
      </c>
      <c r="O32" s="22">
        <f t="shared" si="0"/>
        <v>465.07129999999995</v>
      </c>
      <c r="P32" s="22">
        <f t="shared" si="1"/>
        <v>850.16343700000004</v>
      </c>
      <c r="Q32" s="22">
        <f t="shared" si="2"/>
        <v>603.61604026999998</v>
      </c>
    </row>
    <row r="33" spans="1:17" s="5" customFormat="1" ht="37.5" customHeight="1">
      <c r="A33" s="20" t="s">
        <v>61</v>
      </c>
      <c r="B33" s="27" t="s">
        <v>65</v>
      </c>
      <c r="C33" s="20" t="s">
        <v>4</v>
      </c>
      <c r="D33" s="129" t="s">
        <v>66</v>
      </c>
      <c r="E33" s="129"/>
      <c r="F33" s="129"/>
      <c r="G33" s="129"/>
      <c r="H33" s="129"/>
      <c r="I33" s="129"/>
      <c r="J33" s="129"/>
      <c r="K33" s="129"/>
      <c r="L33" s="20" t="s">
        <v>6</v>
      </c>
      <c r="M33" s="21">
        <f>M31</f>
        <v>35.1</v>
      </c>
      <c r="N33" s="22">
        <v>13.7</v>
      </c>
      <c r="O33" s="22">
        <f t="shared" si="0"/>
        <v>480.87</v>
      </c>
      <c r="P33" s="22">
        <f t="shared" si="1"/>
        <v>17.781230000000001</v>
      </c>
      <c r="Q33" s="22">
        <f t="shared" si="2"/>
        <v>624.121173</v>
      </c>
    </row>
    <row r="34" spans="1:17" s="5" customFormat="1">
      <c r="A34" s="20" t="s">
        <v>64</v>
      </c>
      <c r="B34" s="33" t="s">
        <v>68</v>
      </c>
      <c r="C34" s="20" t="s">
        <v>4</v>
      </c>
      <c r="D34" s="128" t="s">
        <v>69</v>
      </c>
      <c r="E34" s="128"/>
      <c r="F34" s="128"/>
      <c r="G34" s="128"/>
      <c r="H34" s="128"/>
      <c r="I34" s="128"/>
      <c r="J34" s="128"/>
      <c r="K34" s="128"/>
      <c r="L34" s="20" t="s">
        <v>26</v>
      </c>
      <c r="M34" s="21">
        <v>3.6</v>
      </c>
      <c r="N34" s="22">
        <v>334.05</v>
      </c>
      <c r="O34" s="22">
        <f t="shared" si="0"/>
        <v>1202.5800000000002</v>
      </c>
      <c r="P34" s="22">
        <f t="shared" si="1"/>
        <v>433.56349500000005</v>
      </c>
      <c r="Q34" s="22">
        <f t="shared" si="2"/>
        <v>1560.8285820000001</v>
      </c>
    </row>
    <row r="35" spans="1:17" s="5" customFormat="1">
      <c r="A35" s="20" t="s">
        <v>67</v>
      </c>
      <c r="B35" s="33" t="s">
        <v>70</v>
      </c>
      <c r="C35" s="20" t="s">
        <v>4</v>
      </c>
      <c r="D35" s="128" t="s">
        <v>71</v>
      </c>
      <c r="E35" s="128"/>
      <c r="F35" s="128"/>
      <c r="G35" s="128"/>
      <c r="H35" s="128"/>
      <c r="I35" s="128"/>
      <c r="J35" s="128"/>
      <c r="K35" s="128"/>
      <c r="L35" s="20" t="s">
        <v>26</v>
      </c>
      <c r="M35" s="21">
        <v>3.33</v>
      </c>
      <c r="N35" s="22">
        <v>84.54</v>
      </c>
      <c r="O35" s="22">
        <f t="shared" si="0"/>
        <v>281.51820000000004</v>
      </c>
      <c r="P35" s="22">
        <f t="shared" si="1"/>
        <v>109.72446600000001</v>
      </c>
      <c r="Q35" s="22">
        <f t="shared" si="2"/>
        <v>365.38247178</v>
      </c>
    </row>
    <row r="36" spans="1:17" s="5" customFormat="1">
      <c r="A36" s="20" t="s">
        <v>72</v>
      </c>
      <c r="B36" s="33" t="s">
        <v>73</v>
      </c>
      <c r="C36" s="20" t="s">
        <v>4</v>
      </c>
      <c r="D36" s="128" t="s">
        <v>74</v>
      </c>
      <c r="E36" s="128"/>
      <c r="F36" s="128"/>
      <c r="G36" s="128"/>
      <c r="H36" s="128"/>
      <c r="I36" s="128"/>
      <c r="J36" s="128"/>
      <c r="K36" s="128"/>
      <c r="L36" s="20" t="s">
        <v>26</v>
      </c>
      <c r="M36" s="21">
        <v>11.34</v>
      </c>
      <c r="N36" s="22">
        <v>103.15</v>
      </c>
      <c r="O36" s="22">
        <f t="shared" si="0"/>
        <v>1169.721</v>
      </c>
      <c r="P36" s="22">
        <f t="shared" si="1"/>
        <v>133.87838500000001</v>
      </c>
      <c r="Q36" s="22">
        <f t="shared" si="2"/>
        <v>1518.1808859</v>
      </c>
    </row>
    <row r="37" spans="1:17" s="5" customFormat="1">
      <c r="A37" s="20" t="s">
        <v>75</v>
      </c>
      <c r="B37" s="33" t="s">
        <v>76</v>
      </c>
      <c r="C37" s="20" t="s">
        <v>4</v>
      </c>
      <c r="D37" s="128" t="s">
        <v>77</v>
      </c>
      <c r="E37" s="128"/>
      <c r="F37" s="128"/>
      <c r="G37" s="128"/>
      <c r="H37" s="128"/>
      <c r="I37" s="128"/>
      <c r="J37" s="128"/>
      <c r="K37" s="128"/>
      <c r="L37" s="20" t="s">
        <v>21</v>
      </c>
      <c r="M37" s="21">
        <f>(13.5/1.5)*0.25</f>
        <v>2.25</v>
      </c>
      <c r="N37" s="22">
        <v>23.5</v>
      </c>
      <c r="O37" s="22">
        <f t="shared" si="0"/>
        <v>52.875</v>
      </c>
      <c r="P37" s="22">
        <f t="shared" si="1"/>
        <v>30.50065</v>
      </c>
      <c r="Q37" s="22">
        <f t="shared" si="2"/>
        <v>68.626462500000002</v>
      </c>
    </row>
    <row r="38" spans="1:17" s="5" customFormat="1" ht="13.9" customHeight="1">
      <c r="A38" s="20" t="s">
        <v>78</v>
      </c>
      <c r="B38" s="34" t="s">
        <v>79</v>
      </c>
      <c r="C38" s="20" t="s">
        <v>4</v>
      </c>
      <c r="D38" s="127" t="s">
        <v>80</v>
      </c>
      <c r="E38" s="127"/>
      <c r="F38" s="127"/>
      <c r="G38" s="127"/>
      <c r="H38" s="127"/>
      <c r="I38" s="127"/>
      <c r="J38" s="127"/>
      <c r="K38" s="127"/>
      <c r="L38" s="20" t="s">
        <v>6</v>
      </c>
      <c r="M38" s="21">
        <v>35.1</v>
      </c>
      <c r="N38" s="22">
        <v>5.36</v>
      </c>
      <c r="O38" s="22">
        <f t="shared" si="0"/>
        <v>188.13600000000002</v>
      </c>
      <c r="P38" s="22">
        <f t="shared" si="1"/>
        <v>6.9567440000000005</v>
      </c>
      <c r="Q38" s="22">
        <f t="shared" si="2"/>
        <v>244.18171440000003</v>
      </c>
    </row>
    <row r="39" spans="1:17" s="5" customFormat="1" ht="13.9" customHeight="1">
      <c r="A39" s="20" t="s">
        <v>81</v>
      </c>
      <c r="B39" s="32" t="s">
        <v>82</v>
      </c>
      <c r="C39" s="20" t="s">
        <v>4</v>
      </c>
      <c r="D39" s="129" t="s">
        <v>83</v>
      </c>
      <c r="E39" s="129"/>
      <c r="F39" s="129"/>
      <c r="G39" s="129"/>
      <c r="H39" s="129"/>
      <c r="I39" s="129"/>
      <c r="J39" s="129"/>
      <c r="K39" s="129"/>
      <c r="L39" s="20" t="s">
        <v>21</v>
      </c>
      <c r="M39" s="21">
        <v>14</v>
      </c>
      <c r="N39" s="22">
        <v>52</v>
      </c>
      <c r="O39" s="22">
        <f t="shared" si="0"/>
        <v>728</v>
      </c>
      <c r="P39" s="22">
        <f t="shared" si="1"/>
        <v>67.490800000000007</v>
      </c>
      <c r="Q39" s="22">
        <f t="shared" si="2"/>
        <v>944.87120000000004</v>
      </c>
    </row>
    <row r="40" spans="1:17" s="6" customFormat="1" ht="13.9" customHeight="1">
      <c r="A40" s="20" t="s">
        <v>149</v>
      </c>
      <c r="B40" s="32" t="s">
        <v>84</v>
      </c>
      <c r="C40" s="20" t="s">
        <v>4</v>
      </c>
      <c r="D40" s="128" t="s">
        <v>85</v>
      </c>
      <c r="E40" s="128"/>
      <c r="F40" s="128"/>
      <c r="G40" s="128"/>
      <c r="H40" s="128"/>
      <c r="I40" s="128"/>
      <c r="J40" s="128"/>
      <c r="K40" s="128"/>
      <c r="L40" s="20" t="s">
        <v>21</v>
      </c>
      <c r="M40" s="21">
        <f>M20</f>
        <v>13.5</v>
      </c>
      <c r="N40" s="22">
        <v>8.4600000000000009</v>
      </c>
      <c r="O40" s="22">
        <f t="shared" si="0"/>
        <v>114.21000000000001</v>
      </c>
      <c r="P40" s="22">
        <f>N40*1.2979</f>
        <v>10.980234000000001</v>
      </c>
      <c r="Q40" s="22">
        <f t="shared" si="2"/>
        <v>148.23315900000003</v>
      </c>
    </row>
    <row r="41" spans="1:17">
      <c r="A41" s="46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8"/>
      <c r="O41" s="23">
        <f>SUM(O19:O40)</f>
        <v>23497.702424999999</v>
      </c>
      <c r="P41" s="23"/>
      <c r="Q41" s="23">
        <f>SUM(Q19:Q40)</f>
        <v>30497.667977407509</v>
      </c>
    </row>
    <row r="42" spans="1:17">
      <c r="A42" s="40">
        <v>3</v>
      </c>
      <c r="B42" s="40"/>
      <c r="C42" s="40"/>
      <c r="D42" s="137" t="s">
        <v>209</v>
      </c>
      <c r="E42" s="137"/>
      <c r="F42" s="137"/>
      <c r="G42" s="137"/>
      <c r="H42" s="137"/>
      <c r="I42" s="137"/>
      <c r="J42" s="137"/>
      <c r="K42" s="137"/>
      <c r="L42" s="44"/>
      <c r="M42" s="44"/>
      <c r="N42" s="44"/>
      <c r="O42" s="44"/>
      <c r="P42" s="44"/>
      <c r="Q42" s="44"/>
    </row>
    <row r="43" spans="1:17">
      <c r="A43" s="40" t="s">
        <v>87</v>
      </c>
      <c r="B43" s="40"/>
      <c r="C43" s="40"/>
      <c r="D43" s="137" t="s">
        <v>188</v>
      </c>
      <c r="E43" s="137"/>
      <c r="F43" s="137"/>
      <c r="G43" s="137"/>
      <c r="H43" s="137"/>
      <c r="I43" s="137"/>
      <c r="J43" s="137"/>
      <c r="K43" s="137"/>
      <c r="L43" s="44"/>
      <c r="M43" s="44"/>
      <c r="N43" s="44"/>
      <c r="O43" s="44"/>
      <c r="P43" s="44"/>
      <c r="Q43" s="44"/>
    </row>
    <row r="44" spans="1:17">
      <c r="A44" s="20" t="s">
        <v>189</v>
      </c>
      <c r="B44" s="20" t="s">
        <v>19</v>
      </c>
      <c r="C44" s="20" t="s">
        <v>4</v>
      </c>
      <c r="D44" s="124" t="s">
        <v>20</v>
      </c>
      <c r="E44" s="124"/>
      <c r="F44" s="124"/>
      <c r="G44" s="124"/>
      <c r="H44" s="124"/>
      <c r="I44" s="124"/>
      <c r="J44" s="124"/>
      <c r="K44" s="124"/>
      <c r="L44" s="20" t="s">
        <v>21</v>
      </c>
      <c r="M44" s="21">
        <v>40</v>
      </c>
      <c r="N44" s="22">
        <v>1.06</v>
      </c>
      <c r="O44" s="22">
        <f t="shared" ref="O44:O61" si="3">M44*N44</f>
        <v>42.400000000000006</v>
      </c>
      <c r="P44" s="22">
        <f t="shared" ref="P44:P66" si="4">N44*1.2979</f>
        <v>1.3757740000000001</v>
      </c>
      <c r="Q44" s="22">
        <f t="shared" ref="Q44:Q66" si="5">M44*P44</f>
        <v>55.03096</v>
      </c>
    </row>
    <row r="45" spans="1:17" s="5" customFormat="1" ht="35.25" customHeight="1">
      <c r="A45" s="20" t="s">
        <v>190</v>
      </c>
      <c r="B45" s="25" t="s">
        <v>88</v>
      </c>
      <c r="C45" s="20" t="s">
        <v>4</v>
      </c>
      <c r="D45" s="129" t="s">
        <v>89</v>
      </c>
      <c r="E45" s="129"/>
      <c r="F45" s="129"/>
      <c r="G45" s="129"/>
      <c r="H45" s="129"/>
      <c r="I45" s="129"/>
      <c r="J45" s="129"/>
      <c r="K45" s="129"/>
      <c r="L45" s="20" t="s">
        <v>6</v>
      </c>
      <c r="M45" s="21">
        <f>M44*2</f>
        <v>80</v>
      </c>
      <c r="N45" s="35">
        <v>3.1</v>
      </c>
      <c r="O45" s="22">
        <f t="shared" si="3"/>
        <v>248</v>
      </c>
      <c r="P45" s="22">
        <f t="shared" si="4"/>
        <v>4.0234900000000007</v>
      </c>
      <c r="Q45" s="22">
        <f t="shared" si="5"/>
        <v>321.87920000000008</v>
      </c>
    </row>
    <row r="46" spans="1:17">
      <c r="A46" s="20" t="s">
        <v>191</v>
      </c>
      <c r="B46" s="27" t="s">
        <v>90</v>
      </c>
      <c r="C46" s="20" t="s">
        <v>4</v>
      </c>
      <c r="D46" s="128" t="s">
        <v>91</v>
      </c>
      <c r="E46" s="128"/>
      <c r="F46" s="128"/>
      <c r="G46" s="128"/>
      <c r="H46" s="128"/>
      <c r="I46" s="128"/>
      <c r="J46" s="128"/>
      <c r="K46" s="128"/>
      <c r="L46" s="20" t="s">
        <v>26</v>
      </c>
      <c r="M46" s="21">
        <v>1.6</v>
      </c>
      <c r="N46" s="22">
        <v>36.299999999999997</v>
      </c>
      <c r="O46" s="22">
        <f t="shared" si="3"/>
        <v>58.08</v>
      </c>
      <c r="P46" s="22">
        <f t="shared" si="4"/>
        <v>47.113769999999995</v>
      </c>
      <c r="Q46" s="22">
        <f t="shared" si="5"/>
        <v>75.382031999999995</v>
      </c>
    </row>
    <row r="47" spans="1:17">
      <c r="A47" s="20" t="s">
        <v>192</v>
      </c>
      <c r="B47" s="27" t="s">
        <v>92</v>
      </c>
      <c r="C47" s="20" t="s">
        <v>4</v>
      </c>
      <c r="D47" s="128" t="s">
        <v>93</v>
      </c>
      <c r="E47" s="128"/>
      <c r="F47" s="128"/>
      <c r="G47" s="128"/>
      <c r="H47" s="128"/>
      <c r="I47" s="128"/>
      <c r="J47" s="128"/>
      <c r="K47" s="128"/>
      <c r="L47" s="20" t="s">
        <v>21</v>
      </c>
      <c r="M47" s="21">
        <f>21*3</f>
        <v>63</v>
      </c>
      <c r="N47" s="22">
        <v>50.27</v>
      </c>
      <c r="O47" s="22">
        <f t="shared" si="3"/>
        <v>3167.01</v>
      </c>
      <c r="P47" s="22">
        <f t="shared" si="4"/>
        <v>65.245433000000006</v>
      </c>
      <c r="Q47" s="22">
        <f t="shared" si="5"/>
        <v>4110.4622790000003</v>
      </c>
    </row>
    <row r="48" spans="1:17" s="5" customFormat="1">
      <c r="A48" s="20" t="s">
        <v>193</v>
      </c>
      <c r="B48" s="30" t="s">
        <v>94</v>
      </c>
      <c r="C48" s="20" t="s">
        <v>4</v>
      </c>
      <c r="D48" s="124" t="s">
        <v>95</v>
      </c>
      <c r="E48" s="124"/>
      <c r="F48" s="124"/>
      <c r="G48" s="124"/>
      <c r="H48" s="124"/>
      <c r="I48" s="124"/>
      <c r="J48" s="124"/>
      <c r="K48" s="124"/>
      <c r="L48" s="20" t="s">
        <v>26</v>
      </c>
      <c r="M48" s="21">
        <f>M44*0.2*0.03</f>
        <v>0.24</v>
      </c>
      <c r="N48" s="22">
        <v>126.26</v>
      </c>
      <c r="O48" s="22">
        <f t="shared" si="3"/>
        <v>30.302399999999999</v>
      </c>
      <c r="P48" s="22">
        <f t="shared" si="4"/>
        <v>163.87285400000002</v>
      </c>
      <c r="Q48" s="22">
        <f t="shared" si="5"/>
        <v>39.329484960000002</v>
      </c>
    </row>
    <row r="49" spans="1:17" s="5" customFormat="1" ht="33.75" customHeight="1">
      <c r="A49" s="20" t="s">
        <v>194</v>
      </c>
      <c r="B49" s="31" t="s">
        <v>47</v>
      </c>
      <c r="C49" s="20" t="s">
        <v>4</v>
      </c>
      <c r="D49" s="124" t="s">
        <v>48</v>
      </c>
      <c r="E49" s="124"/>
      <c r="F49" s="124"/>
      <c r="G49" s="124"/>
      <c r="H49" s="124"/>
      <c r="I49" s="124"/>
      <c r="J49" s="124"/>
      <c r="K49" s="124"/>
      <c r="L49" s="20" t="s">
        <v>26</v>
      </c>
      <c r="M49" s="28">
        <v>2.71</v>
      </c>
      <c r="N49" s="22">
        <v>359.52</v>
      </c>
      <c r="O49" s="22">
        <f t="shared" si="3"/>
        <v>974.29919999999993</v>
      </c>
      <c r="P49" s="22">
        <f t="shared" si="4"/>
        <v>466.62100800000002</v>
      </c>
      <c r="Q49" s="22">
        <f t="shared" si="5"/>
        <v>1264.54293168</v>
      </c>
    </row>
    <row r="50" spans="1:17" s="5" customFormat="1" ht="21.75" customHeight="1">
      <c r="A50" s="20" t="s">
        <v>195</v>
      </c>
      <c r="B50" s="30" t="s">
        <v>51</v>
      </c>
      <c r="C50" s="20" t="s">
        <v>4</v>
      </c>
      <c r="D50" s="124" t="s">
        <v>52</v>
      </c>
      <c r="E50" s="124"/>
      <c r="F50" s="124"/>
      <c r="G50" s="124"/>
      <c r="H50" s="124"/>
      <c r="I50" s="124"/>
      <c r="J50" s="124"/>
      <c r="K50" s="124"/>
      <c r="L50" s="20" t="s">
        <v>26</v>
      </c>
      <c r="M50" s="21">
        <v>1.6</v>
      </c>
      <c r="N50" s="22">
        <v>122.4</v>
      </c>
      <c r="O50" s="22">
        <f t="shared" si="3"/>
        <v>195.84000000000003</v>
      </c>
      <c r="P50" s="22">
        <f t="shared" si="4"/>
        <v>158.86296000000002</v>
      </c>
      <c r="Q50" s="22">
        <f t="shared" si="5"/>
        <v>254.18073600000002</v>
      </c>
    </row>
    <row r="51" spans="1:17" s="5" customFormat="1">
      <c r="A51" s="20" t="s">
        <v>196</v>
      </c>
      <c r="B51" s="33" t="s">
        <v>68</v>
      </c>
      <c r="C51" s="20" t="s">
        <v>4</v>
      </c>
      <c r="D51" s="128" t="s">
        <v>69</v>
      </c>
      <c r="E51" s="128"/>
      <c r="F51" s="128"/>
      <c r="G51" s="128"/>
      <c r="H51" s="128"/>
      <c r="I51" s="128"/>
      <c r="J51" s="128"/>
      <c r="K51" s="128"/>
      <c r="L51" s="20" t="s">
        <v>26</v>
      </c>
      <c r="M51" s="21">
        <v>1.79</v>
      </c>
      <c r="N51" s="22">
        <v>334.05</v>
      </c>
      <c r="O51" s="22">
        <f t="shared" si="3"/>
        <v>597.94950000000006</v>
      </c>
      <c r="P51" s="22">
        <f t="shared" si="4"/>
        <v>433.56349500000005</v>
      </c>
      <c r="Q51" s="22">
        <f t="shared" si="5"/>
        <v>776.07865605000006</v>
      </c>
    </row>
    <row r="52" spans="1:17" s="5" customFormat="1">
      <c r="A52" s="20" t="s">
        <v>197</v>
      </c>
      <c r="B52" s="31" t="s">
        <v>70</v>
      </c>
      <c r="C52" s="20" t="s">
        <v>4</v>
      </c>
      <c r="D52" s="124" t="s">
        <v>71</v>
      </c>
      <c r="E52" s="124"/>
      <c r="F52" s="124"/>
      <c r="G52" s="124"/>
      <c r="H52" s="124"/>
      <c r="I52" s="124"/>
      <c r="J52" s="124"/>
      <c r="K52" s="124"/>
      <c r="L52" s="20" t="s">
        <v>26</v>
      </c>
      <c r="M52" s="28">
        <f>1+M51</f>
        <v>2.79</v>
      </c>
      <c r="N52" s="22">
        <v>84.54</v>
      </c>
      <c r="O52" s="22">
        <f t="shared" si="3"/>
        <v>235.86660000000003</v>
      </c>
      <c r="P52" s="22">
        <f t="shared" si="4"/>
        <v>109.72446600000001</v>
      </c>
      <c r="Q52" s="22">
        <f t="shared" si="5"/>
        <v>306.13126013999999</v>
      </c>
    </row>
    <row r="53" spans="1:17" s="5" customFormat="1">
      <c r="A53" s="20" t="s">
        <v>198</v>
      </c>
      <c r="B53" s="27" t="s">
        <v>41</v>
      </c>
      <c r="C53" s="20" t="s">
        <v>4</v>
      </c>
      <c r="D53" s="124" t="s">
        <v>42</v>
      </c>
      <c r="E53" s="124"/>
      <c r="F53" s="124"/>
      <c r="G53" s="124"/>
      <c r="H53" s="124"/>
      <c r="I53" s="124"/>
      <c r="J53" s="124"/>
      <c r="K53" s="124"/>
      <c r="L53" s="22" t="s">
        <v>6</v>
      </c>
      <c r="M53" s="21">
        <v>20</v>
      </c>
      <c r="N53" s="29">
        <v>75.25</v>
      </c>
      <c r="O53" s="22">
        <f t="shared" si="3"/>
        <v>1505</v>
      </c>
      <c r="P53" s="22">
        <f t="shared" si="4"/>
        <v>97.666975000000008</v>
      </c>
      <c r="Q53" s="22">
        <f t="shared" si="5"/>
        <v>1953.3395</v>
      </c>
    </row>
    <row r="54" spans="1:17" s="5" customFormat="1">
      <c r="A54" s="20" t="s">
        <v>199</v>
      </c>
      <c r="B54" s="27" t="s">
        <v>159</v>
      </c>
      <c r="C54" s="20" t="s">
        <v>4</v>
      </c>
      <c r="D54" s="124" t="s">
        <v>96</v>
      </c>
      <c r="E54" s="124"/>
      <c r="F54" s="124"/>
      <c r="G54" s="124"/>
      <c r="H54" s="124"/>
      <c r="I54" s="124"/>
      <c r="J54" s="124"/>
      <c r="K54" s="124"/>
      <c r="L54" s="22" t="s">
        <v>6</v>
      </c>
      <c r="M54" s="21">
        <v>22.68</v>
      </c>
      <c r="N54" s="29">
        <v>189.1</v>
      </c>
      <c r="O54" s="22">
        <f t="shared" si="3"/>
        <v>4288.7879999999996</v>
      </c>
      <c r="P54" s="22">
        <f t="shared" si="4"/>
        <v>245.43289000000001</v>
      </c>
      <c r="Q54" s="22">
        <f t="shared" si="5"/>
        <v>5566.4179451999998</v>
      </c>
    </row>
    <row r="55" spans="1:17" s="5" customFormat="1">
      <c r="A55" s="20" t="s">
        <v>200</v>
      </c>
      <c r="B55" s="27" t="s">
        <v>55</v>
      </c>
      <c r="C55" s="20" t="s">
        <v>4</v>
      </c>
      <c r="D55" s="124" t="s">
        <v>56</v>
      </c>
      <c r="E55" s="124"/>
      <c r="F55" s="124"/>
      <c r="G55" s="124"/>
      <c r="H55" s="124"/>
      <c r="I55" s="124"/>
      <c r="J55" s="124"/>
      <c r="K55" s="124"/>
      <c r="L55" s="20" t="s">
        <v>57</v>
      </c>
      <c r="M55" s="21">
        <v>607.54999999999995</v>
      </c>
      <c r="N55" s="22">
        <v>12.65</v>
      </c>
      <c r="O55" s="22">
        <f t="shared" si="3"/>
        <v>7685.5074999999997</v>
      </c>
      <c r="P55" s="22">
        <f t="shared" si="4"/>
        <v>16.418435000000002</v>
      </c>
      <c r="Q55" s="22">
        <f t="shared" si="5"/>
        <v>9975.020184250001</v>
      </c>
    </row>
    <row r="56" spans="1:17" s="5" customFormat="1">
      <c r="A56" s="20" t="s">
        <v>201</v>
      </c>
      <c r="B56" s="20" t="s">
        <v>97</v>
      </c>
      <c r="C56" s="20" t="s">
        <v>4</v>
      </c>
      <c r="D56" s="124" t="s">
        <v>98</v>
      </c>
      <c r="E56" s="124"/>
      <c r="F56" s="124"/>
      <c r="G56" s="124"/>
      <c r="H56" s="124"/>
      <c r="I56" s="124"/>
      <c r="J56" s="124"/>
      <c r="K56" s="124"/>
      <c r="L56" s="20" t="s">
        <v>57</v>
      </c>
      <c r="M56" s="21">
        <v>91.49</v>
      </c>
      <c r="N56" s="22">
        <v>15.56</v>
      </c>
      <c r="O56" s="22">
        <f t="shared" si="3"/>
        <v>1423.5844</v>
      </c>
      <c r="P56" s="22">
        <f t="shared" si="4"/>
        <v>20.195324000000003</v>
      </c>
      <c r="Q56" s="22">
        <f t="shared" si="5"/>
        <v>1847.6701927600002</v>
      </c>
    </row>
    <row r="57" spans="1:17" s="5" customFormat="1">
      <c r="A57" s="20" t="s">
        <v>202</v>
      </c>
      <c r="B57" s="27" t="s">
        <v>99</v>
      </c>
      <c r="C57" s="20" t="s">
        <v>4</v>
      </c>
      <c r="D57" s="136" t="s">
        <v>100</v>
      </c>
      <c r="E57" s="136"/>
      <c r="F57" s="136"/>
      <c r="G57" s="136"/>
      <c r="H57" s="136"/>
      <c r="I57" s="136"/>
      <c r="J57" s="136"/>
      <c r="K57" s="136"/>
      <c r="L57" s="20" t="s">
        <v>6</v>
      </c>
      <c r="M57" s="21">
        <v>88</v>
      </c>
      <c r="N57" s="22">
        <v>59.18</v>
      </c>
      <c r="O57" s="22">
        <f t="shared" si="3"/>
        <v>5207.84</v>
      </c>
      <c r="P57" s="22">
        <f t="shared" si="4"/>
        <v>76.809722000000008</v>
      </c>
      <c r="Q57" s="22">
        <f t="shared" si="5"/>
        <v>6759.2555360000006</v>
      </c>
    </row>
    <row r="58" spans="1:17" s="5" customFormat="1">
      <c r="A58" s="20" t="s">
        <v>203</v>
      </c>
      <c r="B58" s="27" t="s">
        <v>99</v>
      </c>
      <c r="C58" s="20" t="s">
        <v>4</v>
      </c>
      <c r="D58" s="136" t="s">
        <v>101</v>
      </c>
      <c r="E58" s="136"/>
      <c r="F58" s="136"/>
      <c r="G58" s="136"/>
      <c r="H58" s="136"/>
      <c r="I58" s="136"/>
      <c r="J58" s="136"/>
      <c r="K58" s="136"/>
      <c r="L58" s="20" t="s">
        <v>6</v>
      </c>
      <c r="M58" s="21">
        <v>16</v>
      </c>
      <c r="N58" s="22">
        <v>59.18</v>
      </c>
      <c r="O58" s="22">
        <f t="shared" si="3"/>
        <v>946.88</v>
      </c>
      <c r="P58" s="22">
        <f t="shared" si="4"/>
        <v>76.809722000000008</v>
      </c>
      <c r="Q58" s="22">
        <f t="shared" si="5"/>
        <v>1228.9555520000001</v>
      </c>
    </row>
    <row r="59" spans="1:17" s="5" customFormat="1" ht="13.9" customHeight="1">
      <c r="A59" s="20" t="s">
        <v>204</v>
      </c>
      <c r="B59" s="34" t="s">
        <v>79</v>
      </c>
      <c r="C59" s="20" t="s">
        <v>4</v>
      </c>
      <c r="D59" s="127" t="s">
        <v>80</v>
      </c>
      <c r="E59" s="127"/>
      <c r="F59" s="127"/>
      <c r="G59" s="127"/>
      <c r="H59" s="127"/>
      <c r="I59" s="127"/>
      <c r="J59" s="127"/>
      <c r="K59" s="127"/>
      <c r="L59" s="20" t="s">
        <v>6</v>
      </c>
      <c r="M59" s="21">
        <f>M44*2*2.4</f>
        <v>192</v>
      </c>
      <c r="N59" s="22">
        <v>5.36</v>
      </c>
      <c r="O59" s="22">
        <f t="shared" si="3"/>
        <v>1029.1200000000001</v>
      </c>
      <c r="P59" s="22">
        <f t="shared" si="4"/>
        <v>6.9567440000000005</v>
      </c>
      <c r="Q59" s="22">
        <f t="shared" si="5"/>
        <v>1335.6948480000001</v>
      </c>
    </row>
    <row r="60" spans="1:17" s="5" customFormat="1" ht="34.5" customHeight="1">
      <c r="A60" s="20" t="s">
        <v>205</v>
      </c>
      <c r="B60" s="27" t="s">
        <v>65</v>
      </c>
      <c r="C60" s="20" t="s">
        <v>4</v>
      </c>
      <c r="D60" s="127" t="s">
        <v>66</v>
      </c>
      <c r="E60" s="127"/>
      <c r="F60" s="127"/>
      <c r="G60" s="127"/>
      <c r="H60" s="127"/>
      <c r="I60" s="127"/>
      <c r="J60" s="127"/>
      <c r="K60" s="127"/>
      <c r="L60" s="20" t="s">
        <v>6</v>
      </c>
      <c r="M60" s="21">
        <v>40</v>
      </c>
      <c r="N60" s="22">
        <v>13.7</v>
      </c>
      <c r="O60" s="22">
        <f t="shared" si="3"/>
        <v>548</v>
      </c>
      <c r="P60" s="22">
        <f t="shared" si="4"/>
        <v>17.781230000000001</v>
      </c>
      <c r="Q60" s="22">
        <f t="shared" si="5"/>
        <v>711.24919999999997</v>
      </c>
    </row>
    <row r="61" spans="1:17" s="6" customFormat="1" ht="13.9" customHeight="1">
      <c r="A61" s="20" t="s">
        <v>206</v>
      </c>
      <c r="B61" s="32" t="s">
        <v>84</v>
      </c>
      <c r="C61" s="20" t="s">
        <v>4</v>
      </c>
      <c r="D61" s="128" t="s">
        <v>85</v>
      </c>
      <c r="E61" s="128"/>
      <c r="F61" s="128"/>
      <c r="G61" s="128"/>
      <c r="H61" s="128"/>
      <c r="I61" s="128"/>
      <c r="J61" s="128"/>
      <c r="K61" s="128"/>
      <c r="L61" s="20" t="s">
        <v>21</v>
      </c>
      <c r="M61" s="21">
        <f>M44</f>
        <v>40</v>
      </c>
      <c r="N61" s="22">
        <v>8.4600000000000009</v>
      </c>
      <c r="O61" s="22">
        <f t="shared" si="3"/>
        <v>338.40000000000003</v>
      </c>
      <c r="P61" s="22">
        <f t="shared" si="4"/>
        <v>10.980234000000001</v>
      </c>
      <c r="Q61" s="22">
        <f t="shared" si="5"/>
        <v>439.20936000000006</v>
      </c>
    </row>
    <row r="62" spans="1:17" s="5" customFormat="1" ht="13.9" customHeight="1">
      <c r="A62" s="20" t="s">
        <v>223</v>
      </c>
      <c r="B62" s="32" t="s">
        <v>82</v>
      </c>
      <c r="C62" s="20" t="s">
        <v>4</v>
      </c>
      <c r="D62" s="129" t="s">
        <v>83</v>
      </c>
      <c r="E62" s="129"/>
      <c r="F62" s="129"/>
      <c r="G62" s="129"/>
      <c r="H62" s="129"/>
      <c r="I62" s="129"/>
      <c r="J62" s="129"/>
      <c r="K62" s="129"/>
      <c r="L62" s="20" t="s">
        <v>21</v>
      </c>
      <c r="M62" s="21">
        <v>40</v>
      </c>
      <c r="N62" s="22">
        <v>52</v>
      </c>
      <c r="O62" s="22">
        <f>M62*N62</f>
        <v>2080</v>
      </c>
      <c r="P62" s="22">
        <f t="shared" si="4"/>
        <v>67.490800000000007</v>
      </c>
      <c r="Q62" s="22">
        <f t="shared" si="5"/>
        <v>2699.6320000000005</v>
      </c>
    </row>
    <row r="63" spans="1:17" s="5" customFormat="1" ht="13.9" customHeight="1">
      <c r="A63" s="20" t="s">
        <v>224</v>
      </c>
      <c r="B63" s="32" t="s">
        <v>102</v>
      </c>
      <c r="C63" s="20" t="s">
        <v>4</v>
      </c>
      <c r="D63" s="129" t="s">
        <v>103</v>
      </c>
      <c r="E63" s="129"/>
      <c r="F63" s="129"/>
      <c r="G63" s="129"/>
      <c r="H63" s="129"/>
      <c r="I63" s="129"/>
      <c r="J63" s="129"/>
      <c r="K63" s="129"/>
      <c r="L63" s="20" t="s">
        <v>16</v>
      </c>
      <c r="M63" s="21">
        <v>1</v>
      </c>
      <c r="N63" s="22">
        <v>250.11</v>
      </c>
      <c r="O63" s="22">
        <f>M63*N63</f>
        <v>250.11</v>
      </c>
      <c r="P63" s="22">
        <f t="shared" si="4"/>
        <v>324.61776900000001</v>
      </c>
      <c r="Q63" s="22">
        <f t="shared" si="5"/>
        <v>324.61776900000001</v>
      </c>
    </row>
    <row r="64" spans="1:17" s="5" customFormat="1" ht="28.5" customHeight="1">
      <c r="A64" s="20" t="s">
        <v>225</v>
      </c>
      <c r="B64" s="32" t="s">
        <v>105</v>
      </c>
      <c r="C64" s="20" t="s">
        <v>4</v>
      </c>
      <c r="D64" s="130" t="s">
        <v>106</v>
      </c>
      <c r="E64" s="131"/>
      <c r="F64" s="131"/>
      <c r="G64" s="131"/>
      <c r="H64" s="131"/>
      <c r="I64" s="131"/>
      <c r="J64" s="131"/>
      <c r="K64" s="132"/>
      <c r="L64" s="20" t="s">
        <v>21</v>
      </c>
      <c r="M64" s="21">
        <v>15</v>
      </c>
      <c r="N64" s="22">
        <v>56.09</v>
      </c>
      <c r="O64" s="22">
        <f>M64*N64</f>
        <v>841.35</v>
      </c>
      <c r="P64" s="22">
        <f t="shared" si="4"/>
        <v>72.799211000000014</v>
      </c>
      <c r="Q64" s="22">
        <f t="shared" si="5"/>
        <v>1091.9881650000002</v>
      </c>
    </row>
    <row r="65" spans="1:17" s="5" customFormat="1" ht="13.9" customHeight="1">
      <c r="A65" s="20" t="s">
        <v>226</v>
      </c>
      <c r="B65" s="32" t="s">
        <v>73</v>
      </c>
      <c r="C65" s="20" t="s">
        <v>4</v>
      </c>
      <c r="D65" s="128" t="s">
        <v>74</v>
      </c>
      <c r="E65" s="128"/>
      <c r="F65" s="128"/>
      <c r="G65" s="128"/>
      <c r="H65" s="128"/>
      <c r="I65" s="128"/>
      <c r="J65" s="128"/>
      <c r="K65" s="128"/>
      <c r="L65" s="20" t="s">
        <v>26</v>
      </c>
      <c r="M65" s="21">
        <v>2.4</v>
      </c>
      <c r="N65" s="22">
        <v>103.15</v>
      </c>
      <c r="O65" s="22">
        <f>M65*N65</f>
        <v>247.56</v>
      </c>
      <c r="P65" s="22">
        <f t="shared" si="4"/>
        <v>133.87838500000001</v>
      </c>
      <c r="Q65" s="22">
        <f t="shared" si="5"/>
        <v>321.30812400000002</v>
      </c>
    </row>
    <row r="66" spans="1:17" s="5" customFormat="1" ht="30.75" customHeight="1">
      <c r="A66" s="20" t="s">
        <v>227</v>
      </c>
      <c r="B66" s="32" t="s">
        <v>107</v>
      </c>
      <c r="C66" s="20" t="s">
        <v>4</v>
      </c>
      <c r="D66" s="130" t="s">
        <v>108</v>
      </c>
      <c r="E66" s="131"/>
      <c r="F66" s="131"/>
      <c r="G66" s="131"/>
      <c r="H66" s="131"/>
      <c r="I66" s="131"/>
      <c r="J66" s="131"/>
      <c r="K66" s="132"/>
      <c r="L66" s="20" t="s">
        <v>6</v>
      </c>
      <c r="M66" s="21">
        <f>M64*1</f>
        <v>15</v>
      </c>
      <c r="N66" s="22">
        <v>13.79</v>
      </c>
      <c r="O66" s="22">
        <f>M66*N66</f>
        <v>206.85</v>
      </c>
      <c r="P66" s="22">
        <f t="shared" si="4"/>
        <v>17.898040999999999</v>
      </c>
      <c r="Q66" s="22">
        <f t="shared" si="5"/>
        <v>268.47061500000001</v>
      </c>
    </row>
    <row r="67" spans="1:17">
      <c r="A67" s="46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8"/>
      <c r="O67" s="23">
        <f>SUM(O44:O66)</f>
        <v>32148.7376</v>
      </c>
      <c r="P67" s="23"/>
      <c r="Q67" s="23">
        <f>SUM(Q44:Q66)</f>
        <v>41725.846531039999</v>
      </c>
    </row>
    <row r="68" spans="1:17" ht="13.9" customHeight="1">
      <c r="A68" s="40">
        <v>4</v>
      </c>
      <c r="B68" s="40"/>
      <c r="C68" s="40"/>
      <c r="D68" s="133" t="s">
        <v>109</v>
      </c>
      <c r="E68" s="134"/>
      <c r="F68" s="134"/>
      <c r="G68" s="134"/>
      <c r="H68" s="134"/>
      <c r="I68" s="134"/>
      <c r="J68" s="134"/>
      <c r="K68" s="135"/>
      <c r="L68" s="41"/>
      <c r="M68" s="42"/>
      <c r="N68" s="43"/>
      <c r="O68" s="44"/>
      <c r="P68" s="45"/>
      <c r="Q68" s="44"/>
    </row>
    <row r="69" spans="1:17">
      <c r="A69" s="20" t="s">
        <v>110</v>
      </c>
      <c r="B69" s="20" t="s">
        <v>111</v>
      </c>
      <c r="C69" s="20" t="s">
        <v>4</v>
      </c>
      <c r="D69" s="124" t="s">
        <v>112</v>
      </c>
      <c r="E69" s="124"/>
      <c r="F69" s="124"/>
      <c r="G69" s="124"/>
      <c r="H69" s="124"/>
      <c r="I69" s="124"/>
      <c r="J69" s="124"/>
      <c r="K69" s="124"/>
      <c r="L69" s="22" t="s">
        <v>6</v>
      </c>
      <c r="M69" s="36">
        <v>592.4</v>
      </c>
      <c r="N69" s="22">
        <v>1.44</v>
      </c>
      <c r="O69" s="22">
        <f t="shared" ref="O69:O79" si="6">M69*N69</f>
        <v>853.05599999999993</v>
      </c>
      <c r="P69" s="22">
        <f t="shared" ref="P69:P79" si="7">N69*1.2979</f>
        <v>1.868976</v>
      </c>
      <c r="Q69" s="22">
        <f t="shared" ref="Q69:Q79" si="8">M69*P69</f>
        <v>1107.1813823999998</v>
      </c>
    </row>
    <row r="70" spans="1:17">
      <c r="A70" s="20" t="s">
        <v>113</v>
      </c>
      <c r="B70" s="20" t="s">
        <v>114</v>
      </c>
      <c r="C70" s="20" t="s">
        <v>4</v>
      </c>
      <c r="D70" s="124" t="s">
        <v>115</v>
      </c>
      <c r="E70" s="124"/>
      <c r="F70" s="124"/>
      <c r="G70" s="124"/>
      <c r="H70" s="124"/>
      <c r="I70" s="124"/>
      <c r="J70" s="124"/>
      <c r="K70" s="124"/>
      <c r="L70" s="20" t="s">
        <v>26</v>
      </c>
      <c r="M70" s="21">
        <f>M69*0.12</f>
        <v>71.087999999999994</v>
      </c>
      <c r="N70" s="22">
        <v>11.64</v>
      </c>
      <c r="O70" s="22">
        <f t="shared" si="6"/>
        <v>827.46431999999993</v>
      </c>
      <c r="P70" s="22">
        <f t="shared" si="7"/>
        <v>15.107556000000001</v>
      </c>
      <c r="Q70" s="22">
        <f t="shared" si="8"/>
        <v>1073.965940928</v>
      </c>
    </row>
    <row r="71" spans="1:17">
      <c r="A71" s="20" t="s">
        <v>116</v>
      </c>
      <c r="B71" s="25" t="s">
        <v>32</v>
      </c>
      <c r="C71" s="20" t="s">
        <v>4</v>
      </c>
      <c r="D71" s="128" t="s">
        <v>33</v>
      </c>
      <c r="E71" s="128"/>
      <c r="F71" s="128"/>
      <c r="G71" s="128"/>
      <c r="H71" s="128"/>
      <c r="I71" s="128"/>
      <c r="J71" s="128"/>
      <c r="K71" s="128"/>
      <c r="L71" s="20" t="s">
        <v>26</v>
      </c>
      <c r="M71" s="21">
        <f>M69*0.03</f>
        <v>17.771999999999998</v>
      </c>
      <c r="N71" s="22">
        <v>5.18</v>
      </c>
      <c r="O71" s="22">
        <f t="shared" si="6"/>
        <v>92.058959999999985</v>
      </c>
      <c r="P71" s="22">
        <f t="shared" si="7"/>
        <v>6.723122</v>
      </c>
      <c r="Q71" s="22">
        <f t="shared" si="8"/>
        <v>119.483324184</v>
      </c>
    </row>
    <row r="72" spans="1:17" ht="30" customHeight="1">
      <c r="A72" s="20" t="s">
        <v>117</v>
      </c>
      <c r="B72" s="20" t="s">
        <v>118</v>
      </c>
      <c r="C72" s="20" t="s">
        <v>4</v>
      </c>
      <c r="D72" s="124" t="s">
        <v>119</v>
      </c>
      <c r="E72" s="124"/>
      <c r="F72" s="124"/>
      <c r="G72" s="124"/>
      <c r="H72" s="124"/>
      <c r="I72" s="124"/>
      <c r="J72" s="124"/>
      <c r="K72" s="124"/>
      <c r="L72" s="20" t="s">
        <v>26</v>
      </c>
      <c r="M72" s="21">
        <f>10.3*0.06</f>
        <v>0.61799999999999999</v>
      </c>
      <c r="N72" s="22">
        <v>159.72</v>
      </c>
      <c r="O72" s="22">
        <f t="shared" si="6"/>
        <v>98.706959999999995</v>
      </c>
      <c r="P72" s="22">
        <f t="shared" si="7"/>
        <v>207.300588</v>
      </c>
      <c r="Q72" s="22">
        <f t="shared" si="8"/>
        <v>128.111763384</v>
      </c>
    </row>
    <row r="73" spans="1:17" s="5" customFormat="1" ht="40.5" customHeight="1">
      <c r="A73" s="20" t="s">
        <v>120</v>
      </c>
      <c r="B73" s="26" t="s">
        <v>35</v>
      </c>
      <c r="C73" s="20" t="s">
        <v>4</v>
      </c>
      <c r="D73" s="129" t="s">
        <v>36</v>
      </c>
      <c r="E73" s="129"/>
      <c r="F73" s="129"/>
      <c r="G73" s="129"/>
      <c r="H73" s="129"/>
      <c r="I73" s="129"/>
      <c r="J73" s="129"/>
      <c r="K73" s="129"/>
      <c r="L73" s="20" t="s">
        <v>26</v>
      </c>
      <c r="M73" s="21">
        <v>0.62</v>
      </c>
      <c r="N73" s="22">
        <v>12.03</v>
      </c>
      <c r="O73" s="22">
        <f t="shared" si="6"/>
        <v>7.4585999999999997</v>
      </c>
      <c r="P73" s="22">
        <f t="shared" si="7"/>
        <v>15.613737</v>
      </c>
      <c r="Q73" s="22">
        <f t="shared" si="8"/>
        <v>9.6805169400000004</v>
      </c>
    </row>
    <row r="74" spans="1:17" s="5" customFormat="1" ht="33" customHeight="1">
      <c r="A74" s="20" t="s">
        <v>121</v>
      </c>
      <c r="B74" s="20" t="s">
        <v>122</v>
      </c>
      <c r="C74" s="20" t="s">
        <v>4</v>
      </c>
      <c r="D74" s="127" t="s">
        <v>123</v>
      </c>
      <c r="E74" s="127"/>
      <c r="F74" s="127"/>
      <c r="G74" s="127"/>
      <c r="H74" s="127"/>
      <c r="I74" s="127"/>
      <c r="J74" s="127"/>
      <c r="K74" s="127"/>
      <c r="L74" s="20" t="s">
        <v>6</v>
      </c>
      <c r="M74" s="21">
        <v>58.06</v>
      </c>
      <c r="N74" s="22">
        <v>19.13</v>
      </c>
      <c r="O74" s="22">
        <f t="shared" si="6"/>
        <v>1110.6877999999999</v>
      </c>
      <c r="P74" s="22">
        <f t="shared" si="7"/>
        <v>24.828827</v>
      </c>
      <c r="Q74" s="22">
        <f t="shared" si="8"/>
        <v>1441.5616956200001</v>
      </c>
    </row>
    <row r="75" spans="1:17" s="6" customFormat="1" ht="33" customHeight="1">
      <c r="A75" s="20" t="s">
        <v>124</v>
      </c>
      <c r="B75" s="27" t="s">
        <v>159</v>
      </c>
      <c r="C75" s="20" t="s">
        <v>4</v>
      </c>
      <c r="D75" s="124" t="s">
        <v>96</v>
      </c>
      <c r="E75" s="124"/>
      <c r="F75" s="124"/>
      <c r="G75" s="124"/>
      <c r="H75" s="124"/>
      <c r="I75" s="124"/>
      <c r="J75" s="124"/>
      <c r="K75" s="124"/>
      <c r="L75" s="20" t="s">
        <v>6</v>
      </c>
      <c r="M75" s="21">
        <v>27.7</v>
      </c>
      <c r="N75" s="22">
        <v>189.1</v>
      </c>
      <c r="O75" s="22">
        <f t="shared" si="6"/>
        <v>5238.07</v>
      </c>
      <c r="P75" s="22">
        <f t="shared" si="7"/>
        <v>245.43289000000001</v>
      </c>
      <c r="Q75" s="22">
        <f t="shared" si="8"/>
        <v>6798.4910530000006</v>
      </c>
    </row>
    <row r="76" spans="1:17">
      <c r="A76" s="20" t="s">
        <v>125</v>
      </c>
      <c r="B76" s="20" t="s">
        <v>94</v>
      </c>
      <c r="C76" s="20" t="s">
        <v>4</v>
      </c>
      <c r="D76" s="124" t="s">
        <v>126</v>
      </c>
      <c r="E76" s="124"/>
      <c r="F76" s="124"/>
      <c r="G76" s="124"/>
      <c r="H76" s="124"/>
      <c r="I76" s="124"/>
      <c r="J76" s="124"/>
      <c r="K76" s="124"/>
      <c r="L76" s="20" t="s">
        <v>26</v>
      </c>
      <c r="M76" s="21">
        <f>M69*0.03</f>
        <v>17.771999999999998</v>
      </c>
      <c r="N76" s="22">
        <v>126.26</v>
      </c>
      <c r="O76" s="22">
        <f t="shared" si="6"/>
        <v>2243.8927199999998</v>
      </c>
      <c r="P76" s="22">
        <f t="shared" si="7"/>
        <v>163.87285400000002</v>
      </c>
      <c r="Q76" s="22">
        <f t="shared" si="8"/>
        <v>2912.348361288</v>
      </c>
    </row>
    <row r="77" spans="1:17" ht="13.9" customHeight="1">
      <c r="A77" s="20" t="s">
        <v>127</v>
      </c>
      <c r="B77" s="20" t="s">
        <v>47</v>
      </c>
      <c r="C77" s="20" t="s">
        <v>4</v>
      </c>
      <c r="D77" s="127" t="s">
        <v>128</v>
      </c>
      <c r="E77" s="127"/>
      <c r="F77" s="127"/>
      <c r="G77" s="127"/>
      <c r="H77" s="127"/>
      <c r="I77" s="127"/>
      <c r="J77" s="127"/>
      <c r="K77" s="127"/>
      <c r="L77" s="20" t="s">
        <v>26</v>
      </c>
      <c r="M77" s="21">
        <f>M69*0.06</f>
        <v>35.543999999999997</v>
      </c>
      <c r="N77" s="22">
        <v>359.52</v>
      </c>
      <c r="O77" s="22">
        <f t="shared" si="6"/>
        <v>12778.778879999998</v>
      </c>
      <c r="P77" s="22">
        <f t="shared" si="7"/>
        <v>466.62100800000002</v>
      </c>
      <c r="Q77" s="22">
        <f t="shared" si="8"/>
        <v>16585.577108351998</v>
      </c>
    </row>
    <row r="78" spans="1:17">
      <c r="A78" s="20" t="s">
        <v>129</v>
      </c>
      <c r="B78" s="20" t="s">
        <v>70</v>
      </c>
      <c r="C78" s="20" t="s">
        <v>4</v>
      </c>
      <c r="D78" s="124" t="s">
        <v>71</v>
      </c>
      <c r="E78" s="124"/>
      <c r="F78" s="124"/>
      <c r="G78" s="124"/>
      <c r="H78" s="124"/>
      <c r="I78" s="124"/>
      <c r="J78" s="124"/>
      <c r="K78" s="124"/>
      <c r="L78" s="20" t="s">
        <v>26</v>
      </c>
      <c r="M78" s="21">
        <f>M77</f>
        <v>35.543999999999997</v>
      </c>
      <c r="N78" s="22">
        <v>84.54</v>
      </c>
      <c r="O78" s="22">
        <f t="shared" si="6"/>
        <v>3004.88976</v>
      </c>
      <c r="P78" s="22">
        <f t="shared" si="7"/>
        <v>109.72446600000001</v>
      </c>
      <c r="Q78" s="22">
        <f t="shared" si="8"/>
        <v>3900.0464195039999</v>
      </c>
    </row>
    <row r="79" spans="1:17" ht="33" customHeight="1">
      <c r="A79" s="20" t="s">
        <v>130</v>
      </c>
      <c r="B79" s="20" t="s">
        <v>131</v>
      </c>
      <c r="C79" s="20" t="s">
        <v>4</v>
      </c>
      <c r="D79" s="124" t="s">
        <v>207</v>
      </c>
      <c r="E79" s="124"/>
      <c r="F79" s="124"/>
      <c r="G79" s="124"/>
      <c r="H79" s="124"/>
      <c r="I79" s="124"/>
      <c r="J79" s="124"/>
      <c r="K79" s="124"/>
      <c r="L79" s="20" t="s">
        <v>57</v>
      </c>
      <c r="M79" s="21">
        <f>2.2*363.32</f>
        <v>799.30400000000009</v>
      </c>
      <c r="N79" s="22">
        <v>12.71</v>
      </c>
      <c r="O79" s="22">
        <f t="shared" si="6"/>
        <v>10159.153840000003</v>
      </c>
      <c r="P79" s="22">
        <f t="shared" si="7"/>
        <v>16.496309</v>
      </c>
      <c r="Q79" s="22">
        <f t="shared" si="8"/>
        <v>13185.565768936001</v>
      </c>
    </row>
    <row r="80" spans="1:17">
      <c r="A80" s="46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8"/>
      <c r="O80" s="23">
        <f>SUM(O69:O79)</f>
        <v>36414.217839999998</v>
      </c>
      <c r="P80" s="23"/>
      <c r="Q80" s="23">
        <f>SUM(Q69:Q79)</f>
        <v>47262.013334536001</v>
      </c>
    </row>
    <row r="81" spans="1:17" ht="13.9" customHeight="1">
      <c r="A81" s="40">
        <v>5</v>
      </c>
      <c r="B81" s="40"/>
      <c r="C81" s="40"/>
      <c r="D81" s="125" t="s">
        <v>132</v>
      </c>
      <c r="E81" s="125"/>
      <c r="F81" s="125"/>
      <c r="G81" s="125"/>
      <c r="H81" s="125"/>
      <c r="I81" s="125"/>
      <c r="J81" s="125"/>
      <c r="K81" s="125"/>
      <c r="L81" s="41"/>
      <c r="M81" s="42"/>
      <c r="N81" s="43"/>
      <c r="O81" s="44"/>
      <c r="P81" s="45"/>
      <c r="Q81" s="44"/>
    </row>
    <row r="82" spans="1:17">
      <c r="A82" s="20" t="s">
        <v>228</v>
      </c>
      <c r="B82" s="20" t="s">
        <v>133</v>
      </c>
      <c r="C82" s="20" t="s">
        <v>4</v>
      </c>
      <c r="D82" s="124" t="s">
        <v>134</v>
      </c>
      <c r="E82" s="124"/>
      <c r="F82" s="124"/>
      <c r="G82" s="124"/>
      <c r="H82" s="124"/>
      <c r="I82" s="124"/>
      <c r="J82" s="124"/>
      <c r="K82" s="124"/>
      <c r="L82" s="20" t="s">
        <v>6</v>
      </c>
      <c r="M82" s="21">
        <v>913.6</v>
      </c>
      <c r="N82" s="22">
        <v>10.56</v>
      </c>
      <c r="O82" s="22">
        <f>M82*N82</f>
        <v>9647.616</v>
      </c>
      <c r="P82" s="22">
        <f>N82*1.2979</f>
        <v>13.705824000000002</v>
      </c>
      <c r="Q82" s="22">
        <f>M82*P82</f>
        <v>12521.640806400002</v>
      </c>
    </row>
    <row r="83" spans="1:17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23">
        <f>SUM(O82:O82)</f>
        <v>9647.616</v>
      </c>
      <c r="P83" s="23"/>
      <c r="Q83" s="23">
        <f>SUM(Q82:Q82)</f>
        <v>12521.640806400002</v>
      </c>
    </row>
    <row r="84" spans="1:17" s="1" customFormat="1" ht="15.75" thickBo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39"/>
      <c r="P84" s="39"/>
      <c r="Q84" s="39"/>
    </row>
    <row r="85" spans="1:17" ht="39.75" customHeight="1" thickBot="1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4"/>
      <c r="M85" s="14"/>
      <c r="N85" s="51" t="s">
        <v>136</v>
      </c>
      <c r="O85" s="52">
        <f>SUM(O17,O41,O67,O80,O83)</f>
        <v>105735.70426499999</v>
      </c>
      <c r="P85" s="52" t="s">
        <v>137</v>
      </c>
      <c r="Q85" s="53">
        <f>SUM(Q17,Q41,Q67,Q80,Q83)</f>
        <v>137234.3705655435</v>
      </c>
    </row>
    <row r="86" spans="1:17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spans="1:17" hidden="1"/>
    <row r="88" spans="1:17" hidden="1"/>
    <row r="89" spans="1:17" hidden="1">
      <c r="A89" s="120"/>
      <c r="B89" s="121"/>
      <c r="C89" s="121"/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1"/>
      <c r="O89" s="121"/>
      <c r="P89" s="121"/>
      <c r="Q89" s="121"/>
    </row>
    <row r="90" spans="1:17" ht="15.75" hidden="1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</row>
    <row r="91" spans="1:17" ht="15.75" hidden="1">
      <c r="A91" s="123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</row>
    <row r="92" spans="1:17" hidden="1"/>
    <row r="93" spans="1:17" hidden="1"/>
    <row r="94" spans="1:17" hidden="1"/>
    <row r="95" spans="1:17" hidden="1"/>
    <row r="96" spans="1:17" hidden="1"/>
    <row r="97" hidden="1"/>
    <row r="98" hidden="1"/>
    <row r="99" hidden="1"/>
    <row r="100" hidden="1"/>
    <row r="101" hidden="1"/>
  </sheetData>
  <mergeCells count="82">
    <mergeCell ref="O8:Q8"/>
    <mergeCell ref="O9:P9"/>
    <mergeCell ref="O10:P10"/>
    <mergeCell ref="O11:P11"/>
    <mergeCell ref="A9:J9"/>
    <mergeCell ref="A10:K10"/>
    <mergeCell ref="L10:N10"/>
    <mergeCell ref="D13:K13"/>
    <mergeCell ref="D14:K14"/>
    <mergeCell ref="D15:K15"/>
    <mergeCell ref="D16:K16"/>
    <mergeCell ref="D18:K18"/>
    <mergeCell ref="A17:N17"/>
    <mergeCell ref="D19:K19"/>
    <mergeCell ref="D20:K20"/>
    <mergeCell ref="D21:K21"/>
    <mergeCell ref="D22:K22"/>
    <mergeCell ref="D23:K23"/>
    <mergeCell ref="D24:K24"/>
    <mergeCell ref="D25:K25"/>
    <mergeCell ref="D26:K26"/>
    <mergeCell ref="D27:K27"/>
    <mergeCell ref="D28:K28"/>
    <mergeCell ref="D29:K29"/>
    <mergeCell ref="D30:K30"/>
    <mergeCell ref="D31:K31"/>
    <mergeCell ref="D32:K32"/>
    <mergeCell ref="D33:K33"/>
    <mergeCell ref="D34:K34"/>
    <mergeCell ref="D35:K35"/>
    <mergeCell ref="D36:K36"/>
    <mergeCell ref="D37:K37"/>
    <mergeCell ref="D38:K38"/>
    <mergeCell ref="D39:K39"/>
    <mergeCell ref="D40:K40"/>
    <mergeCell ref="D42:K42"/>
    <mergeCell ref="D44:K44"/>
    <mergeCell ref="D43:K43"/>
    <mergeCell ref="D45:K45"/>
    <mergeCell ref="D46:K46"/>
    <mergeCell ref="D47:K47"/>
    <mergeCell ref="D48:K48"/>
    <mergeCell ref="D49:K49"/>
    <mergeCell ref="D50:K50"/>
    <mergeCell ref="D51:K51"/>
    <mergeCell ref="D52:K52"/>
    <mergeCell ref="D53:K53"/>
    <mergeCell ref="D54:K54"/>
    <mergeCell ref="D55:K55"/>
    <mergeCell ref="D56:K56"/>
    <mergeCell ref="D57:K57"/>
    <mergeCell ref="D58:K58"/>
    <mergeCell ref="D59:K59"/>
    <mergeCell ref="D64:K64"/>
    <mergeCell ref="D65:K65"/>
    <mergeCell ref="D66:K66"/>
    <mergeCell ref="D68:K68"/>
    <mergeCell ref="D60:K60"/>
    <mergeCell ref="D61:K61"/>
    <mergeCell ref="D62:K62"/>
    <mergeCell ref="D63:K63"/>
    <mergeCell ref="D69:K69"/>
    <mergeCell ref="D70:K70"/>
    <mergeCell ref="D71:K71"/>
    <mergeCell ref="D72:K72"/>
    <mergeCell ref="D73:K73"/>
    <mergeCell ref="A85:K85"/>
    <mergeCell ref="A89:Q89"/>
    <mergeCell ref="A6:Q7"/>
    <mergeCell ref="A91:J91"/>
    <mergeCell ref="K91:Q91"/>
    <mergeCell ref="A90:J90"/>
    <mergeCell ref="K90:Q90"/>
    <mergeCell ref="D79:K79"/>
    <mergeCell ref="D81:K81"/>
    <mergeCell ref="D82:K82"/>
    <mergeCell ref="A83:N83"/>
    <mergeCell ref="D74:K74"/>
    <mergeCell ref="D75:K75"/>
    <mergeCell ref="D76:K76"/>
    <mergeCell ref="D77:K77"/>
    <mergeCell ref="D78:K78"/>
  </mergeCells>
  <printOptions horizontalCentered="1"/>
  <pageMargins left="0.51181102362204722" right="0.47244094488188981" top="0.39370078740157483" bottom="0.39370078740157483" header="0.51181102362204722" footer="0.51181102362204722"/>
  <pageSetup paperSize="9" scale="70" firstPageNumber="0" fitToHeight="2" orientation="landscape" horizontalDpi="300" verticalDpi="300" r:id="rId1"/>
  <rowBreaks count="1" manualBreakCount="1">
    <brk id="75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3"/>
  <sheetViews>
    <sheetView tabSelected="1" view="pageBreakPreview" topLeftCell="A61" zoomScale="115" zoomScaleNormal="100" zoomScaleSheetLayoutView="115" workbookViewId="0">
      <selection activeCell="R68" sqref="R68"/>
    </sheetView>
  </sheetViews>
  <sheetFormatPr defaultRowHeight="15"/>
  <cols>
    <col min="1" max="1" width="8.7109375" customWidth="1"/>
    <col min="2" max="2" width="10.140625" bestFit="1" customWidth="1"/>
    <col min="3" max="3" width="9.7109375" customWidth="1"/>
    <col min="4" max="10" width="8.7109375" customWidth="1"/>
    <col min="11" max="11" width="13.140625" customWidth="1"/>
    <col min="12" max="12" width="9.140625" customWidth="1"/>
    <col min="13" max="13" width="10.140625" customWidth="1"/>
    <col min="14" max="14" width="15.28515625" hidden="1" customWidth="1"/>
    <col min="15" max="15" width="15" hidden="1" customWidth="1"/>
    <col min="16" max="16" width="15.140625" hidden="1" customWidth="1"/>
    <col min="17" max="17" width="16.5703125" hidden="1" customWidth="1"/>
    <col min="18" max="18" width="60.140625" customWidth="1"/>
    <col min="19" max="19" width="8.7109375" customWidth="1"/>
    <col min="20" max="20" width="16.140625" customWidth="1"/>
    <col min="21" max="1021" width="8.7109375" customWidth="1"/>
    <col min="1022" max="1023" width="11.5703125" customWidth="1"/>
  </cols>
  <sheetData>
    <row r="1" spans="1:18">
      <c r="A1" s="49"/>
      <c r="B1" s="49"/>
      <c r="C1" s="4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"/>
      <c r="B2" s="1"/>
      <c r="C2" s="1"/>
      <c r="D2" s="1"/>
      <c r="E2" s="2"/>
      <c r="F2" s="3"/>
      <c r="G2" s="3"/>
      <c r="H2" s="4"/>
      <c r="I2" s="4"/>
      <c r="J2" s="4"/>
      <c r="K2" s="4"/>
      <c r="L2" s="4"/>
      <c r="M2" s="4"/>
      <c r="N2" s="4"/>
      <c r="O2" s="4"/>
      <c r="P2" s="4"/>
      <c r="Q2" s="4"/>
      <c r="R2" s="1"/>
    </row>
    <row r="3" spans="1:18" ht="18">
      <c r="A3" s="1"/>
      <c r="B3" s="1"/>
      <c r="C3" s="1"/>
      <c r="D3" s="1"/>
      <c r="E3" s="2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1"/>
    </row>
    <row r="4" spans="1:18">
      <c r="A4" s="1"/>
      <c r="B4" s="1"/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1"/>
    </row>
    <row r="5" spans="1:18">
      <c r="A5" s="1"/>
      <c r="B5" s="1"/>
      <c r="C5" s="1"/>
      <c r="D5" s="1"/>
      <c r="E5" s="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"/>
    </row>
    <row r="6" spans="1:18" ht="18.75" customHeight="1">
      <c r="A6" s="122" t="s">
        <v>0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</row>
    <row r="7" spans="1:18">
      <c r="A7" s="122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</row>
    <row r="8" spans="1:18">
      <c r="A8" s="13"/>
      <c r="B8" s="13"/>
      <c r="C8" s="13"/>
      <c r="D8" s="13"/>
      <c r="E8" s="1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8">
      <c r="A9" s="146" t="s">
        <v>212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</row>
    <row r="10" spans="1:18">
      <c r="A10" s="146" t="s">
        <v>213</v>
      </c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7"/>
      <c r="M10" s="147"/>
      <c r="N10" s="147"/>
      <c r="O10" s="16"/>
      <c r="P10" s="16"/>
      <c r="Q10" s="16"/>
    </row>
    <row r="11" spans="1:18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9"/>
      <c r="M11" s="19"/>
      <c r="N11" s="19"/>
      <c r="O11" s="16"/>
      <c r="P11" s="16"/>
      <c r="Q11" s="16"/>
    </row>
    <row r="12" spans="1:18" ht="30">
      <c r="A12" s="37" t="s">
        <v>138</v>
      </c>
      <c r="B12" s="37" t="s">
        <v>214</v>
      </c>
      <c r="C12" s="37" t="s">
        <v>215</v>
      </c>
      <c r="D12" s="141" t="s">
        <v>216</v>
      </c>
      <c r="E12" s="141"/>
      <c r="F12" s="141"/>
      <c r="G12" s="141"/>
      <c r="H12" s="141"/>
      <c r="I12" s="141"/>
      <c r="J12" s="141"/>
      <c r="K12" s="141"/>
      <c r="L12" s="37" t="s">
        <v>217</v>
      </c>
      <c r="M12" s="37" t="s">
        <v>218</v>
      </c>
      <c r="N12" s="37" t="s">
        <v>219</v>
      </c>
      <c r="O12" s="38" t="s">
        <v>220</v>
      </c>
      <c r="P12" s="38" t="s">
        <v>221</v>
      </c>
      <c r="Q12" s="38" t="s">
        <v>222</v>
      </c>
      <c r="R12" s="54" t="s">
        <v>0</v>
      </c>
    </row>
    <row r="13" spans="1:18">
      <c r="A13" s="40">
        <v>1</v>
      </c>
      <c r="B13" s="40"/>
      <c r="C13" s="40"/>
      <c r="D13" s="137" t="s">
        <v>1</v>
      </c>
      <c r="E13" s="137"/>
      <c r="F13" s="137"/>
      <c r="G13" s="137"/>
      <c r="H13" s="137"/>
      <c r="I13" s="137"/>
      <c r="J13" s="137"/>
      <c r="K13" s="137"/>
      <c r="L13" s="40"/>
      <c r="M13" s="40"/>
      <c r="N13" s="40"/>
      <c r="O13" s="40"/>
      <c r="P13" s="40"/>
      <c r="Q13" s="40"/>
      <c r="R13" s="50"/>
    </row>
    <row r="14" spans="1:18">
      <c r="A14" s="20" t="s">
        <v>2</v>
      </c>
      <c r="B14" s="20" t="s">
        <v>3</v>
      </c>
      <c r="C14" s="20" t="s">
        <v>4</v>
      </c>
      <c r="D14" s="124" t="s">
        <v>5</v>
      </c>
      <c r="E14" s="124"/>
      <c r="F14" s="124"/>
      <c r="G14" s="124"/>
      <c r="H14" s="124"/>
      <c r="I14" s="124"/>
      <c r="J14" s="124"/>
      <c r="K14" s="124"/>
      <c r="L14" s="20" t="s">
        <v>6</v>
      </c>
      <c r="M14" s="21">
        <v>2.88</v>
      </c>
      <c r="N14" s="22">
        <v>602.21</v>
      </c>
      <c r="O14" s="22">
        <f>M14*N14</f>
        <v>1734.3648000000001</v>
      </c>
      <c r="P14" s="22">
        <f>N14*1.2979</f>
        <v>781.60835900000006</v>
      </c>
      <c r="Q14" s="22">
        <f>M14*P14</f>
        <v>2251.0320739200001</v>
      </c>
      <c r="R14" s="8" t="s">
        <v>7</v>
      </c>
    </row>
    <row r="15" spans="1:18">
      <c r="A15" s="20" t="s">
        <v>8</v>
      </c>
      <c r="B15" s="20" t="s">
        <v>9</v>
      </c>
      <c r="C15" s="20" t="s">
        <v>4</v>
      </c>
      <c r="D15" s="124" t="s">
        <v>10</v>
      </c>
      <c r="E15" s="124"/>
      <c r="F15" s="124"/>
      <c r="G15" s="124"/>
      <c r="H15" s="124"/>
      <c r="I15" s="124"/>
      <c r="J15" s="124"/>
      <c r="K15" s="124"/>
      <c r="L15" s="20" t="s">
        <v>11</v>
      </c>
      <c r="M15" s="21">
        <v>4</v>
      </c>
      <c r="N15" s="22">
        <v>532.98</v>
      </c>
      <c r="O15" s="22">
        <f>M15*N15</f>
        <v>2131.92</v>
      </c>
      <c r="P15" s="22">
        <f>N15*1.2979</f>
        <v>691.75474200000008</v>
      </c>
      <c r="Q15" s="22">
        <f>M15*P15</f>
        <v>2767.0189680000003</v>
      </c>
      <c r="R15" s="8" t="s">
        <v>12</v>
      </c>
    </row>
    <row r="16" spans="1:18">
      <c r="A16" s="142"/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4"/>
      <c r="O16" s="23">
        <f>SUM(O14:O15)</f>
        <v>3866.2848000000004</v>
      </c>
      <c r="Q16" s="23">
        <f>SUM(Q14:Q15)</f>
        <v>5018.05104192</v>
      </c>
      <c r="R16" s="9"/>
    </row>
    <row r="17" spans="1:18">
      <c r="A17" s="40">
        <v>2</v>
      </c>
      <c r="B17" s="40"/>
      <c r="C17" s="40"/>
      <c r="D17" s="125" t="s">
        <v>186</v>
      </c>
      <c r="E17" s="125"/>
      <c r="F17" s="125"/>
      <c r="G17" s="125"/>
      <c r="H17" s="125"/>
      <c r="I17" s="125"/>
      <c r="J17" s="125"/>
      <c r="K17" s="125"/>
      <c r="L17" s="41"/>
      <c r="M17" s="42"/>
      <c r="N17" s="43"/>
      <c r="O17" s="44"/>
      <c r="P17" s="45"/>
      <c r="Q17" s="44"/>
      <c r="R17" s="55"/>
    </row>
    <row r="18" spans="1:18">
      <c r="A18" s="20" t="s">
        <v>13</v>
      </c>
      <c r="B18" s="20" t="s">
        <v>14</v>
      </c>
      <c r="C18" s="20" t="s">
        <v>4</v>
      </c>
      <c r="D18" s="128" t="s">
        <v>15</v>
      </c>
      <c r="E18" s="128"/>
      <c r="F18" s="128"/>
      <c r="G18" s="128"/>
      <c r="H18" s="128"/>
      <c r="I18" s="128"/>
      <c r="J18" s="128"/>
      <c r="K18" s="128"/>
      <c r="L18" s="20" t="s">
        <v>16</v>
      </c>
      <c r="M18" s="21">
        <v>1</v>
      </c>
      <c r="N18" s="24">
        <v>1643.32</v>
      </c>
      <c r="O18" s="22">
        <f t="shared" ref="O18:O39" si="0">M18*N18</f>
        <v>1643.32</v>
      </c>
      <c r="P18" s="22">
        <f t="shared" ref="P18:P38" si="1">N18*1.2979</f>
        <v>2132.8650280000002</v>
      </c>
      <c r="Q18" s="22">
        <f t="shared" ref="Q18:Q39" si="2">M18*P18</f>
        <v>2132.8650280000002</v>
      </c>
      <c r="R18" s="8" t="s">
        <v>17</v>
      </c>
    </row>
    <row r="19" spans="1:18">
      <c r="A19" s="20" t="s">
        <v>18</v>
      </c>
      <c r="B19" s="20" t="s">
        <v>19</v>
      </c>
      <c r="C19" s="20" t="s">
        <v>4</v>
      </c>
      <c r="D19" s="124" t="s">
        <v>20</v>
      </c>
      <c r="E19" s="124"/>
      <c r="F19" s="124"/>
      <c r="G19" s="124"/>
      <c r="H19" s="124"/>
      <c r="I19" s="124"/>
      <c r="J19" s="124"/>
      <c r="K19" s="124"/>
      <c r="L19" s="20" t="s">
        <v>21</v>
      </c>
      <c r="M19" s="21">
        <v>13.5</v>
      </c>
      <c r="N19" s="22">
        <v>1.01</v>
      </c>
      <c r="O19" s="22">
        <f t="shared" si="0"/>
        <v>13.635</v>
      </c>
      <c r="P19" s="22">
        <f t="shared" si="1"/>
        <v>1.3108790000000001</v>
      </c>
      <c r="Q19" s="22">
        <f t="shared" si="2"/>
        <v>17.696866500000002</v>
      </c>
      <c r="R19" s="8" t="s">
        <v>22</v>
      </c>
    </row>
    <row r="20" spans="1:18" ht="24">
      <c r="A20" s="20" t="s">
        <v>23</v>
      </c>
      <c r="B20" s="20" t="s">
        <v>24</v>
      </c>
      <c r="C20" s="20" t="s">
        <v>4</v>
      </c>
      <c r="D20" s="138" t="s">
        <v>25</v>
      </c>
      <c r="E20" s="139"/>
      <c r="F20" s="139"/>
      <c r="G20" s="139"/>
      <c r="H20" s="139"/>
      <c r="I20" s="139"/>
      <c r="J20" s="139"/>
      <c r="K20" s="140"/>
      <c r="L20" s="20" t="s">
        <v>26</v>
      </c>
      <c r="M20" s="21">
        <v>3.23</v>
      </c>
      <c r="N20" s="22">
        <v>55.76</v>
      </c>
      <c r="O20" s="22">
        <f t="shared" si="0"/>
        <v>180.10479999999998</v>
      </c>
      <c r="P20" s="22">
        <f t="shared" si="1"/>
        <v>72.370903999999996</v>
      </c>
      <c r="Q20" s="22">
        <f t="shared" si="2"/>
        <v>233.75801991999998</v>
      </c>
      <c r="R20" s="10" t="s">
        <v>27</v>
      </c>
    </row>
    <row r="21" spans="1:18" s="5" customFormat="1" ht="24">
      <c r="A21" s="20" t="s">
        <v>28</v>
      </c>
      <c r="B21" s="20" t="s">
        <v>29</v>
      </c>
      <c r="C21" s="20" t="s">
        <v>4</v>
      </c>
      <c r="D21" s="127" t="s">
        <v>30</v>
      </c>
      <c r="E21" s="127"/>
      <c r="F21" s="127"/>
      <c r="G21" s="127"/>
      <c r="H21" s="127"/>
      <c r="I21" s="127"/>
      <c r="J21" s="127"/>
      <c r="K21" s="127"/>
      <c r="L21" s="20" t="s">
        <v>26</v>
      </c>
      <c r="M21" s="21">
        <f>M19*2*1.7</f>
        <v>45.9</v>
      </c>
      <c r="N21" s="22">
        <v>16.98</v>
      </c>
      <c r="O21" s="22">
        <f t="shared" si="0"/>
        <v>779.38199999999995</v>
      </c>
      <c r="P21" s="22">
        <f t="shared" si="1"/>
        <v>22.038342</v>
      </c>
      <c r="Q21" s="22">
        <f t="shared" si="2"/>
        <v>1011.5598977999999</v>
      </c>
      <c r="R21" s="10" t="s">
        <v>144</v>
      </c>
    </row>
    <row r="22" spans="1:18" s="6" customFormat="1" ht="24">
      <c r="A22" s="20" t="s">
        <v>31</v>
      </c>
      <c r="B22" s="25" t="s">
        <v>32</v>
      </c>
      <c r="C22" s="20" t="s">
        <v>4</v>
      </c>
      <c r="D22" s="129" t="s">
        <v>33</v>
      </c>
      <c r="E22" s="129"/>
      <c r="F22" s="129"/>
      <c r="G22" s="129"/>
      <c r="H22" s="129"/>
      <c r="I22" s="129"/>
      <c r="J22" s="129"/>
      <c r="K22" s="129"/>
      <c r="L22" s="20" t="s">
        <v>26</v>
      </c>
      <c r="M22" s="21">
        <f>M19*1.3*1.7</f>
        <v>29.835000000000001</v>
      </c>
      <c r="N22" s="22">
        <v>4.99</v>
      </c>
      <c r="O22" s="22">
        <f t="shared" si="0"/>
        <v>148.87665000000001</v>
      </c>
      <c r="P22" s="22">
        <f t="shared" si="1"/>
        <v>6.4765210000000009</v>
      </c>
      <c r="Q22" s="22">
        <f t="shared" si="2"/>
        <v>193.22700403500002</v>
      </c>
      <c r="R22" s="10" t="s">
        <v>145</v>
      </c>
    </row>
    <row r="23" spans="1:18" s="5" customFormat="1" ht="24">
      <c r="A23" s="20" t="s">
        <v>34</v>
      </c>
      <c r="B23" s="26" t="s">
        <v>35</v>
      </c>
      <c r="C23" s="20" t="s">
        <v>4</v>
      </c>
      <c r="D23" s="129" t="s">
        <v>36</v>
      </c>
      <c r="E23" s="129"/>
      <c r="F23" s="129"/>
      <c r="G23" s="129"/>
      <c r="H23" s="129"/>
      <c r="I23" s="129"/>
      <c r="J23" s="129"/>
      <c r="K23" s="129"/>
      <c r="L23" s="20" t="s">
        <v>26</v>
      </c>
      <c r="M23" s="21">
        <f>M20</f>
        <v>3.23</v>
      </c>
      <c r="N23" s="22">
        <v>10.72</v>
      </c>
      <c r="O23" s="22">
        <f t="shared" si="0"/>
        <v>34.625599999999999</v>
      </c>
      <c r="P23" s="22">
        <f t="shared" si="1"/>
        <v>13.913488000000001</v>
      </c>
      <c r="Q23" s="22">
        <f t="shared" si="2"/>
        <v>44.940566240000003</v>
      </c>
      <c r="R23" s="10" t="s">
        <v>143</v>
      </c>
    </row>
    <row r="24" spans="1:18" ht="24">
      <c r="A24" s="20" t="s">
        <v>37</v>
      </c>
      <c r="B24" s="27" t="s">
        <v>38</v>
      </c>
      <c r="C24" s="20" t="s">
        <v>4</v>
      </c>
      <c r="D24" s="124" t="s">
        <v>39</v>
      </c>
      <c r="E24" s="124"/>
      <c r="F24" s="124"/>
      <c r="G24" s="124"/>
      <c r="H24" s="124"/>
      <c r="I24" s="124"/>
      <c r="J24" s="124"/>
      <c r="K24" s="124"/>
      <c r="L24" s="20" t="s">
        <v>21</v>
      </c>
      <c r="M24" s="28">
        <v>60</v>
      </c>
      <c r="N24" s="22">
        <v>57.11</v>
      </c>
      <c r="O24" s="22">
        <f t="shared" si="0"/>
        <v>3426.6</v>
      </c>
      <c r="P24" s="22">
        <f t="shared" si="1"/>
        <v>74.123069000000001</v>
      </c>
      <c r="Q24" s="22">
        <f t="shared" si="2"/>
        <v>4447.3841400000001</v>
      </c>
      <c r="R24" s="10" t="s">
        <v>146</v>
      </c>
    </row>
    <row r="25" spans="1:18" ht="24">
      <c r="A25" s="20" t="s">
        <v>40</v>
      </c>
      <c r="B25" s="27" t="s">
        <v>41</v>
      </c>
      <c r="C25" s="20" t="s">
        <v>4</v>
      </c>
      <c r="D25" s="124" t="s">
        <v>42</v>
      </c>
      <c r="E25" s="124"/>
      <c r="F25" s="124"/>
      <c r="G25" s="124"/>
      <c r="H25" s="124"/>
      <c r="I25" s="124"/>
      <c r="J25" s="124"/>
      <c r="K25" s="124"/>
      <c r="L25" s="22" t="s">
        <v>6</v>
      </c>
      <c r="M25" s="21">
        <v>10.220000000000001</v>
      </c>
      <c r="N25" s="29">
        <v>66.69</v>
      </c>
      <c r="O25" s="22">
        <f t="shared" si="0"/>
        <v>681.57180000000005</v>
      </c>
      <c r="P25" s="22">
        <f t="shared" si="1"/>
        <v>86.556950999999998</v>
      </c>
      <c r="Q25" s="22">
        <f t="shared" si="2"/>
        <v>884.61203922000004</v>
      </c>
      <c r="R25" s="10" t="s">
        <v>147</v>
      </c>
    </row>
    <row r="26" spans="1:18">
      <c r="A26" s="20" t="s">
        <v>43</v>
      </c>
      <c r="B26" s="30" t="s">
        <v>44</v>
      </c>
      <c r="C26" s="20" t="s">
        <v>4</v>
      </c>
      <c r="D26" s="138" t="s">
        <v>211</v>
      </c>
      <c r="E26" s="139"/>
      <c r="F26" s="139"/>
      <c r="G26" s="139"/>
      <c r="H26" s="139"/>
      <c r="I26" s="139"/>
      <c r="J26" s="139"/>
      <c r="K26" s="140"/>
      <c r="L26" s="20" t="s">
        <v>26</v>
      </c>
      <c r="M26" s="21">
        <f>M19*0.055</f>
        <v>0.74250000000000005</v>
      </c>
      <c r="N26" s="22">
        <v>255.42</v>
      </c>
      <c r="O26" s="22">
        <f t="shared" si="0"/>
        <v>189.64935</v>
      </c>
      <c r="P26" s="22">
        <f t="shared" si="1"/>
        <v>331.50961799999999</v>
      </c>
      <c r="Q26" s="22">
        <f t="shared" si="2"/>
        <v>246.14589136500001</v>
      </c>
      <c r="R26" s="8" t="s">
        <v>45</v>
      </c>
    </row>
    <row r="27" spans="1:18">
      <c r="A27" s="20" t="s">
        <v>50</v>
      </c>
      <c r="B27" s="31" t="s">
        <v>47</v>
      </c>
      <c r="C27" s="20" t="s">
        <v>4</v>
      </c>
      <c r="D27" s="124" t="s">
        <v>48</v>
      </c>
      <c r="E27" s="124"/>
      <c r="F27" s="124"/>
      <c r="G27" s="124"/>
      <c r="H27" s="124"/>
      <c r="I27" s="124"/>
      <c r="J27" s="124"/>
      <c r="K27" s="124"/>
      <c r="L27" s="20" t="s">
        <v>26</v>
      </c>
      <c r="M27" s="21">
        <f>M19*0.275</f>
        <v>3.7125000000000004</v>
      </c>
      <c r="N27" s="22">
        <v>336.54</v>
      </c>
      <c r="O27" s="22">
        <f t="shared" si="0"/>
        <v>1249.4047500000001</v>
      </c>
      <c r="P27" s="22">
        <f t="shared" si="1"/>
        <v>436.79526600000003</v>
      </c>
      <c r="Q27" s="22">
        <f t="shared" si="2"/>
        <v>1621.6024250250002</v>
      </c>
      <c r="R27" s="10" t="s">
        <v>49</v>
      </c>
    </row>
    <row r="28" spans="1:18" s="7" customFormat="1" ht="14.25">
      <c r="A28" s="20" t="s">
        <v>46</v>
      </c>
      <c r="B28" s="32" t="s">
        <v>51</v>
      </c>
      <c r="C28" s="20" t="s">
        <v>4</v>
      </c>
      <c r="D28" s="124" t="s">
        <v>52</v>
      </c>
      <c r="E28" s="124"/>
      <c r="F28" s="124"/>
      <c r="G28" s="124"/>
      <c r="H28" s="124"/>
      <c r="I28" s="124"/>
      <c r="J28" s="124"/>
      <c r="K28" s="124"/>
      <c r="L28" s="20" t="s">
        <v>26</v>
      </c>
      <c r="M28" s="21">
        <v>4.45</v>
      </c>
      <c r="N28" s="22">
        <v>117.58</v>
      </c>
      <c r="O28" s="22">
        <f t="shared" si="0"/>
        <v>523.23099999999999</v>
      </c>
      <c r="P28" s="22">
        <f t="shared" si="1"/>
        <v>152.60708199999999</v>
      </c>
      <c r="Q28" s="22">
        <f t="shared" si="2"/>
        <v>679.10151489999998</v>
      </c>
      <c r="R28" s="8" t="s">
        <v>53</v>
      </c>
    </row>
    <row r="29" spans="1:18">
      <c r="A29" s="20" t="s">
        <v>54</v>
      </c>
      <c r="B29" s="27" t="s">
        <v>55</v>
      </c>
      <c r="C29" s="20" t="s">
        <v>4</v>
      </c>
      <c r="D29" s="124" t="s">
        <v>56</v>
      </c>
      <c r="E29" s="124"/>
      <c r="F29" s="124"/>
      <c r="G29" s="124"/>
      <c r="H29" s="124"/>
      <c r="I29" s="124"/>
      <c r="J29" s="124"/>
      <c r="K29" s="124"/>
      <c r="L29" s="20" t="s">
        <v>57</v>
      </c>
      <c r="M29" s="21">
        <f>(6.6*2.4+17.21)*M19</f>
        <v>446.17499999999995</v>
      </c>
      <c r="N29" s="22">
        <v>11.13</v>
      </c>
      <c r="O29" s="22">
        <f t="shared" si="0"/>
        <v>4965.9277499999998</v>
      </c>
      <c r="P29" s="22">
        <f t="shared" si="1"/>
        <v>14.445627000000002</v>
      </c>
      <c r="Q29" s="22">
        <f t="shared" si="2"/>
        <v>6445.2776267250001</v>
      </c>
      <c r="R29" s="8" t="s">
        <v>170</v>
      </c>
    </row>
    <row r="30" spans="1:18" s="5" customFormat="1">
      <c r="A30" s="20" t="s">
        <v>148</v>
      </c>
      <c r="B30" s="33" t="s">
        <v>59</v>
      </c>
      <c r="C30" s="20" t="s">
        <v>4</v>
      </c>
      <c r="D30" s="136" t="s">
        <v>60</v>
      </c>
      <c r="E30" s="136"/>
      <c r="F30" s="136"/>
      <c r="G30" s="136"/>
      <c r="H30" s="136"/>
      <c r="I30" s="136"/>
      <c r="J30" s="136"/>
      <c r="K30" s="136"/>
      <c r="L30" s="20" t="s">
        <v>6</v>
      </c>
      <c r="M30" s="21">
        <v>35.1</v>
      </c>
      <c r="N30" s="22">
        <v>96.68</v>
      </c>
      <c r="O30" s="22">
        <f t="shared" si="0"/>
        <v>3393.4680000000003</v>
      </c>
      <c r="P30" s="22">
        <f t="shared" si="1"/>
        <v>125.48097200000001</v>
      </c>
      <c r="Q30" s="22">
        <f t="shared" si="2"/>
        <v>4404.3821172000007</v>
      </c>
      <c r="R30" s="8" t="s">
        <v>180</v>
      </c>
    </row>
    <row r="31" spans="1:18" s="5" customFormat="1">
      <c r="A31" s="20" t="s">
        <v>58</v>
      </c>
      <c r="B31" s="33" t="s">
        <v>62</v>
      </c>
      <c r="C31" s="20" t="s">
        <v>4</v>
      </c>
      <c r="D31" s="128" t="s">
        <v>63</v>
      </c>
      <c r="E31" s="128"/>
      <c r="F31" s="128"/>
      <c r="G31" s="128"/>
      <c r="H31" s="128"/>
      <c r="I31" s="128"/>
      <c r="J31" s="128"/>
      <c r="K31" s="128"/>
      <c r="L31" s="20" t="s">
        <v>26</v>
      </c>
      <c r="M31" s="21">
        <v>0.71</v>
      </c>
      <c r="N31" s="22">
        <v>601.6</v>
      </c>
      <c r="O31" s="22">
        <f t="shared" si="0"/>
        <v>427.13599999999997</v>
      </c>
      <c r="P31" s="22">
        <f t="shared" si="1"/>
        <v>780.81664000000001</v>
      </c>
      <c r="Q31" s="22">
        <f t="shared" si="2"/>
        <v>554.37981439999999</v>
      </c>
      <c r="R31" s="8" t="s">
        <v>181</v>
      </c>
    </row>
    <row r="32" spans="1:18" s="5" customFormat="1" ht="24">
      <c r="A32" s="20" t="s">
        <v>61</v>
      </c>
      <c r="B32" s="27" t="s">
        <v>65</v>
      </c>
      <c r="C32" s="20" t="s">
        <v>4</v>
      </c>
      <c r="D32" s="129" t="s">
        <v>66</v>
      </c>
      <c r="E32" s="129"/>
      <c r="F32" s="129"/>
      <c r="G32" s="129"/>
      <c r="H32" s="129"/>
      <c r="I32" s="129"/>
      <c r="J32" s="129"/>
      <c r="K32" s="129"/>
      <c r="L32" s="20" t="s">
        <v>6</v>
      </c>
      <c r="M32" s="21">
        <f>M30</f>
        <v>35.1</v>
      </c>
      <c r="N32" s="22">
        <v>12.74</v>
      </c>
      <c r="O32" s="22">
        <f t="shared" si="0"/>
        <v>447.17400000000004</v>
      </c>
      <c r="P32" s="22">
        <f t="shared" si="1"/>
        <v>16.535246000000001</v>
      </c>
      <c r="Q32" s="22">
        <f t="shared" si="2"/>
        <v>580.38713460000008</v>
      </c>
      <c r="R32" s="10" t="s">
        <v>182</v>
      </c>
    </row>
    <row r="33" spans="1:18" s="5" customFormat="1">
      <c r="A33" s="20" t="s">
        <v>64</v>
      </c>
      <c r="B33" s="33" t="s">
        <v>68</v>
      </c>
      <c r="C33" s="20" t="s">
        <v>4</v>
      </c>
      <c r="D33" s="128" t="s">
        <v>69</v>
      </c>
      <c r="E33" s="128"/>
      <c r="F33" s="128"/>
      <c r="G33" s="128"/>
      <c r="H33" s="128"/>
      <c r="I33" s="128"/>
      <c r="J33" s="128"/>
      <c r="K33" s="128"/>
      <c r="L33" s="20" t="s">
        <v>26</v>
      </c>
      <c r="M33" s="21">
        <v>3.6</v>
      </c>
      <c r="N33" s="22">
        <v>307.01</v>
      </c>
      <c r="O33" s="22">
        <f t="shared" si="0"/>
        <v>1105.2360000000001</v>
      </c>
      <c r="P33" s="22">
        <f t="shared" si="1"/>
        <v>398.468279</v>
      </c>
      <c r="Q33" s="22">
        <f t="shared" si="2"/>
        <v>1434.4858044</v>
      </c>
      <c r="R33" s="8" t="s">
        <v>183</v>
      </c>
    </row>
    <row r="34" spans="1:18" s="5" customFormat="1">
      <c r="A34" s="20" t="s">
        <v>67</v>
      </c>
      <c r="B34" s="33" t="s">
        <v>70</v>
      </c>
      <c r="C34" s="20" t="s">
        <v>4</v>
      </c>
      <c r="D34" s="128" t="s">
        <v>71</v>
      </c>
      <c r="E34" s="128"/>
      <c r="F34" s="128"/>
      <c r="G34" s="128"/>
      <c r="H34" s="128"/>
      <c r="I34" s="128"/>
      <c r="J34" s="128"/>
      <c r="K34" s="128"/>
      <c r="L34" s="20" t="s">
        <v>26</v>
      </c>
      <c r="M34" s="21">
        <v>3.33</v>
      </c>
      <c r="N34" s="22">
        <v>81.22</v>
      </c>
      <c r="O34" s="22">
        <f t="shared" si="0"/>
        <v>270.46260000000001</v>
      </c>
      <c r="P34" s="22">
        <f t="shared" si="1"/>
        <v>105.41543800000001</v>
      </c>
      <c r="Q34" s="22">
        <f t="shared" si="2"/>
        <v>351.03340854000004</v>
      </c>
      <c r="R34" s="8" t="s">
        <v>183</v>
      </c>
    </row>
    <row r="35" spans="1:18" s="5" customFormat="1">
      <c r="A35" s="20" t="s">
        <v>72</v>
      </c>
      <c r="B35" s="33" t="s">
        <v>73</v>
      </c>
      <c r="C35" s="20" t="s">
        <v>4</v>
      </c>
      <c r="D35" s="128" t="s">
        <v>74</v>
      </c>
      <c r="E35" s="128"/>
      <c r="F35" s="128"/>
      <c r="G35" s="128"/>
      <c r="H35" s="128"/>
      <c r="I35" s="128"/>
      <c r="J35" s="128"/>
      <c r="K35" s="128"/>
      <c r="L35" s="20" t="s">
        <v>26</v>
      </c>
      <c r="M35" s="21">
        <v>11.34</v>
      </c>
      <c r="N35" s="22">
        <v>96.07</v>
      </c>
      <c r="O35" s="22">
        <f t="shared" si="0"/>
        <v>1089.4338</v>
      </c>
      <c r="P35" s="22">
        <f t="shared" si="1"/>
        <v>124.68925299999999</v>
      </c>
      <c r="Q35" s="22">
        <f t="shared" si="2"/>
        <v>1413.9761290199999</v>
      </c>
      <c r="R35" s="8" t="s">
        <v>184</v>
      </c>
    </row>
    <row r="36" spans="1:18" s="5" customFormat="1">
      <c r="A36" s="20" t="s">
        <v>75</v>
      </c>
      <c r="B36" s="33" t="s">
        <v>76</v>
      </c>
      <c r="C36" s="20" t="s">
        <v>4</v>
      </c>
      <c r="D36" s="128" t="s">
        <v>77</v>
      </c>
      <c r="E36" s="128"/>
      <c r="F36" s="128"/>
      <c r="G36" s="128"/>
      <c r="H36" s="128"/>
      <c r="I36" s="128"/>
      <c r="J36" s="128"/>
      <c r="K36" s="128"/>
      <c r="L36" s="20" t="s">
        <v>21</v>
      </c>
      <c r="M36" s="21">
        <f>(13.5/1.5)*0.25</f>
        <v>2.25</v>
      </c>
      <c r="N36" s="22">
        <v>21.64</v>
      </c>
      <c r="O36" s="22">
        <f t="shared" si="0"/>
        <v>48.69</v>
      </c>
      <c r="P36" s="22">
        <f t="shared" si="1"/>
        <v>28.086556000000002</v>
      </c>
      <c r="Q36" s="22">
        <f t="shared" si="2"/>
        <v>63.194751000000004</v>
      </c>
      <c r="R36" s="8" t="s">
        <v>150</v>
      </c>
    </row>
    <row r="37" spans="1:18" s="5" customFormat="1">
      <c r="A37" s="20" t="s">
        <v>78</v>
      </c>
      <c r="B37" s="34" t="s">
        <v>79</v>
      </c>
      <c r="C37" s="20" t="s">
        <v>4</v>
      </c>
      <c r="D37" s="127" t="s">
        <v>80</v>
      </c>
      <c r="E37" s="127"/>
      <c r="F37" s="127"/>
      <c r="G37" s="127"/>
      <c r="H37" s="127"/>
      <c r="I37" s="127"/>
      <c r="J37" s="127"/>
      <c r="K37" s="127"/>
      <c r="L37" s="20" t="s">
        <v>6</v>
      </c>
      <c r="M37" s="21">
        <v>35.1</v>
      </c>
      <c r="N37" s="22">
        <v>5.05</v>
      </c>
      <c r="O37" s="22">
        <f t="shared" si="0"/>
        <v>177.255</v>
      </c>
      <c r="P37" s="22">
        <f t="shared" si="1"/>
        <v>6.5543950000000004</v>
      </c>
      <c r="Q37" s="22">
        <f t="shared" si="2"/>
        <v>230.05926450000001</v>
      </c>
      <c r="R37" s="8" t="s">
        <v>185</v>
      </c>
    </row>
    <row r="38" spans="1:18" s="5" customFormat="1">
      <c r="A38" s="20" t="s">
        <v>81</v>
      </c>
      <c r="B38" s="32" t="s">
        <v>82</v>
      </c>
      <c r="C38" s="20" t="s">
        <v>4</v>
      </c>
      <c r="D38" s="129" t="s">
        <v>83</v>
      </c>
      <c r="E38" s="129"/>
      <c r="F38" s="129"/>
      <c r="G38" s="129"/>
      <c r="H38" s="129"/>
      <c r="I38" s="129"/>
      <c r="J38" s="129"/>
      <c r="K38" s="129"/>
      <c r="L38" s="20" t="s">
        <v>21</v>
      </c>
      <c r="M38" s="21">
        <v>14</v>
      </c>
      <c r="N38" s="22">
        <v>48.61</v>
      </c>
      <c r="O38" s="22">
        <f t="shared" si="0"/>
        <v>680.54</v>
      </c>
      <c r="P38" s="22">
        <f t="shared" si="1"/>
        <v>63.090919</v>
      </c>
      <c r="Q38" s="22">
        <f t="shared" si="2"/>
        <v>883.27286600000002</v>
      </c>
      <c r="R38" s="8" t="s">
        <v>245</v>
      </c>
    </row>
    <row r="39" spans="1:18" s="6" customFormat="1" ht="14.25">
      <c r="A39" s="20" t="s">
        <v>149</v>
      </c>
      <c r="B39" s="32" t="s">
        <v>84</v>
      </c>
      <c r="C39" s="20" t="s">
        <v>4</v>
      </c>
      <c r="D39" s="128" t="s">
        <v>85</v>
      </c>
      <c r="E39" s="128"/>
      <c r="F39" s="128"/>
      <c r="G39" s="128"/>
      <c r="H39" s="128"/>
      <c r="I39" s="128"/>
      <c r="J39" s="128"/>
      <c r="K39" s="128"/>
      <c r="L39" s="20" t="s">
        <v>21</v>
      </c>
      <c r="M39" s="21">
        <f>M19</f>
        <v>13.5</v>
      </c>
      <c r="N39" s="22">
        <v>7.98</v>
      </c>
      <c r="O39" s="22">
        <f t="shared" si="0"/>
        <v>107.73</v>
      </c>
      <c r="P39" s="22">
        <f>N39*1.2979</f>
        <v>10.357242000000001</v>
      </c>
      <c r="Q39" s="22">
        <f t="shared" si="2"/>
        <v>139.82276700000003</v>
      </c>
      <c r="R39" s="8" t="s">
        <v>86</v>
      </c>
    </row>
    <row r="40" spans="1:18">
      <c r="A40" s="46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8"/>
      <c r="O40" s="23">
        <f>SUM(O18:O39)</f>
        <v>21583.454099999995</v>
      </c>
      <c r="P40" s="23"/>
      <c r="Q40" s="23">
        <f>SUM(Q18:Q39)</f>
        <v>28013.16507639</v>
      </c>
      <c r="R40" s="9"/>
    </row>
    <row r="41" spans="1:18">
      <c r="A41" s="40">
        <v>3</v>
      </c>
      <c r="B41" s="40"/>
      <c r="C41" s="40"/>
      <c r="D41" s="137" t="s">
        <v>209</v>
      </c>
      <c r="E41" s="137"/>
      <c r="F41" s="137"/>
      <c r="G41" s="137"/>
      <c r="H41" s="137"/>
      <c r="I41" s="137"/>
      <c r="J41" s="137"/>
      <c r="K41" s="137"/>
      <c r="L41" s="44"/>
      <c r="M41" s="44"/>
      <c r="N41" s="44"/>
      <c r="O41" s="44"/>
      <c r="P41" s="44"/>
      <c r="Q41" s="44"/>
      <c r="R41" s="55"/>
    </row>
    <row r="42" spans="1:18">
      <c r="A42" s="40" t="s">
        <v>87</v>
      </c>
      <c r="B42" s="40"/>
      <c r="C42" s="40"/>
      <c r="D42" s="137" t="s">
        <v>188</v>
      </c>
      <c r="E42" s="137"/>
      <c r="F42" s="137"/>
      <c r="G42" s="137"/>
      <c r="H42" s="137"/>
      <c r="I42" s="137"/>
      <c r="J42" s="137"/>
      <c r="K42" s="137"/>
      <c r="L42" s="44"/>
      <c r="M42" s="44"/>
      <c r="N42" s="44"/>
      <c r="O42" s="44"/>
      <c r="P42" s="44"/>
      <c r="Q42" s="44"/>
      <c r="R42" s="55"/>
    </row>
    <row r="43" spans="1:18">
      <c r="A43" s="20" t="s">
        <v>189</v>
      </c>
      <c r="B43" s="20" t="s">
        <v>19</v>
      </c>
      <c r="C43" s="20" t="s">
        <v>4</v>
      </c>
      <c r="D43" s="124" t="s">
        <v>20</v>
      </c>
      <c r="E43" s="124"/>
      <c r="F43" s="124"/>
      <c r="G43" s="124"/>
      <c r="H43" s="124"/>
      <c r="I43" s="124"/>
      <c r="J43" s="124"/>
      <c r="K43" s="124"/>
      <c r="L43" s="20" t="s">
        <v>21</v>
      </c>
      <c r="M43" s="21">
        <v>40</v>
      </c>
      <c r="N43" s="22">
        <v>1.01</v>
      </c>
      <c r="O43" s="22">
        <f t="shared" ref="O43:O60" si="3">M43*N43</f>
        <v>40.4</v>
      </c>
      <c r="P43" s="22">
        <f t="shared" ref="P43:P65" si="4">N43*1.2979</f>
        <v>1.3108790000000001</v>
      </c>
      <c r="Q43" s="22">
        <f t="shared" ref="Q43:Q65" si="5">M43*P43</f>
        <v>52.435160000000003</v>
      </c>
      <c r="R43" s="8" t="s">
        <v>151</v>
      </c>
    </row>
    <row r="44" spans="1:18" s="5" customFormat="1">
      <c r="A44" s="20" t="s">
        <v>190</v>
      </c>
      <c r="B44" s="25" t="s">
        <v>88</v>
      </c>
      <c r="C44" s="20" t="s">
        <v>4</v>
      </c>
      <c r="D44" s="129" t="s">
        <v>89</v>
      </c>
      <c r="E44" s="129"/>
      <c r="F44" s="129"/>
      <c r="G44" s="129"/>
      <c r="H44" s="129"/>
      <c r="I44" s="129"/>
      <c r="J44" s="129"/>
      <c r="K44" s="129"/>
      <c r="L44" s="20" t="s">
        <v>6</v>
      </c>
      <c r="M44" s="21">
        <f>M43*2</f>
        <v>80</v>
      </c>
      <c r="N44" s="35">
        <v>2.75</v>
      </c>
      <c r="O44" s="22">
        <f t="shared" si="3"/>
        <v>220</v>
      </c>
      <c r="P44" s="22">
        <f t="shared" si="4"/>
        <v>3.5692250000000003</v>
      </c>
      <c r="Q44" s="22">
        <f t="shared" si="5"/>
        <v>285.53800000000001</v>
      </c>
      <c r="R44" s="8" t="s">
        <v>152</v>
      </c>
    </row>
    <row r="45" spans="1:18">
      <c r="A45" s="20" t="s">
        <v>191</v>
      </c>
      <c r="B45" s="27" t="s">
        <v>90</v>
      </c>
      <c r="C45" s="20" t="s">
        <v>4</v>
      </c>
      <c r="D45" s="128" t="s">
        <v>91</v>
      </c>
      <c r="E45" s="128"/>
      <c r="F45" s="128"/>
      <c r="G45" s="128"/>
      <c r="H45" s="128"/>
      <c r="I45" s="128"/>
      <c r="J45" s="128"/>
      <c r="K45" s="128"/>
      <c r="L45" s="20" t="s">
        <v>26</v>
      </c>
      <c r="M45" s="21">
        <v>1.6</v>
      </c>
      <c r="N45" s="22">
        <v>34.85</v>
      </c>
      <c r="O45" s="22">
        <f t="shared" si="3"/>
        <v>55.760000000000005</v>
      </c>
      <c r="P45" s="22">
        <f t="shared" si="4"/>
        <v>45.231815000000005</v>
      </c>
      <c r="Q45" s="22">
        <f t="shared" si="5"/>
        <v>72.37090400000001</v>
      </c>
      <c r="R45" s="10" t="s">
        <v>153</v>
      </c>
    </row>
    <row r="46" spans="1:18" ht="24">
      <c r="A46" s="20" t="s">
        <v>192</v>
      </c>
      <c r="B46" s="27" t="s">
        <v>92</v>
      </c>
      <c r="C46" s="20" t="s">
        <v>4</v>
      </c>
      <c r="D46" s="128" t="s">
        <v>93</v>
      </c>
      <c r="E46" s="128"/>
      <c r="F46" s="128"/>
      <c r="G46" s="128"/>
      <c r="H46" s="128"/>
      <c r="I46" s="128"/>
      <c r="J46" s="128"/>
      <c r="K46" s="128"/>
      <c r="L46" s="20" t="s">
        <v>21</v>
      </c>
      <c r="M46" s="21">
        <f>21*3</f>
        <v>63</v>
      </c>
      <c r="N46" s="22">
        <v>47.49</v>
      </c>
      <c r="O46" s="22">
        <f t="shared" si="3"/>
        <v>2991.8700000000003</v>
      </c>
      <c r="P46" s="22">
        <f t="shared" si="4"/>
        <v>61.637271000000005</v>
      </c>
      <c r="Q46" s="22">
        <f t="shared" si="5"/>
        <v>3883.1480730000003</v>
      </c>
      <c r="R46" s="10" t="s">
        <v>154</v>
      </c>
    </row>
    <row r="47" spans="1:18" s="5" customFormat="1">
      <c r="A47" s="20" t="s">
        <v>193</v>
      </c>
      <c r="B47" s="30" t="s">
        <v>94</v>
      </c>
      <c r="C47" s="20" t="s">
        <v>4</v>
      </c>
      <c r="D47" s="124" t="s">
        <v>95</v>
      </c>
      <c r="E47" s="124"/>
      <c r="F47" s="124"/>
      <c r="G47" s="124"/>
      <c r="H47" s="124"/>
      <c r="I47" s="124"/>
      <c r="J47" s="124"/>
      <c r="K47" s="124"/>
      <c r="L47" s="20" t="s">
        <v>26</v>
      </c>
      <c r="M47" s="21">
        <f>M43*0.2*0.03</f>
        <v>0.24</v>
      </c>
      <c r="N47" s="22">
        <v>117.64</v>
      </c>
      <c r="O47" s="22">
        <f t="shared" si="3"/>
        <v>28.233599999999999</v>
      </c>
      <c r="P47" s="22">
        <f t="shared" si="4"/>
        <v>152.684956</v>
      </c>
      <c r="Q47" s="22">
        <f t="shared" si="5"/>
        <v>36.644389439999998</v>
      </c>
      <c r="R47" s="8" t="s">
        <v>155</v>
      </c>
    </row>
    <row r="48" spans="1:18" s="5" customFormat="1" ht="24">
      <c r="A48" s="20" t="s">
        <v>194</v>
      </c>
      <c r="B48" s="31" t="s">
        <v>47</v>
      </c>
      <c r="C48" s="20" t="s">
        <v>4</v>
      </c>
      <c r="D48" s="124" t="s">
        <v>48</v>
      </c>
      <c r="E48" s="124"/>
      <c r="F48" s="124"/>
      <c r="G48" s="124"/>
      <c r="H48" s="124"/>
      <c r="I48" s="124"/>
      <c r="J48" s="124"/>
      <c r="K48" s="124"/>
      <c r="L48" s="20" t="s">
        <v>26</v>
      </c>
      <c r="M48" s="28">
        <v>2.71</v>
      </c>
      <c r="N48" s="22">
        <v>336.54</v>
      </c>
      <c r="O48" s="22">
        <f t="shared" si="3"/>
        <v>912.02340000000004</v>
      </c>
      <c r="P48" s="22">
        <f t="shared" si="4"/>
        <v>436.79526600000003</v>
      </c>
      <c r="Q48" s="22">
        <f t="shared" si="5"/>
        <v>1183.7151708599999</v>
      </c>
      <c r="R48" s="10" t="s">
        <v>156</v>
      </c>
    </row>
    <row r="49" spans="1:18" s="5" customFormat="1">
      <c r="A49" s="20" t="s">
        <v>195</v>
      </c>
      <c r="B49" s="30" t="s">
        <v>51</v>
      </c>
      <c r="C49" s="20" t="s">
        <v>4</v>
      </c>
      <c r="D49" s="124" t="s">
        <v>52</v>
      </c>
      <c r="E49" s="124"/>
      <c r="F49" s="124"/>
      <c r="G49" s="124"/>
      <c r="H49" s="124"/>
      <c r="I49" s="124"/>
      <c r="J49" s="124"/>
      <c r="K49" s="124"/>
      <c r="L49" s="20" t="s">
        <v>26</v>
      </c>
      <c r="M49" s="21">
        <v>1.6</v>
      </c>
      <c r="N49" s="22">
        <v>117.58</v>
      </c>
      <c r="O49" s="22">
        <f t="shared" si="3"/>
        <v>188.12800000000001</v>
      </c>
      <c r="P49" s="22">
        <f t="shared" si="4"/>
        <v>152.60708199999999</v>
      </c>
      <c r="Q49" s="22">
        <f t="shared" si="5"/>
        <v>244.1713312</v>
      </c>
      <c r="R49" s="10" t="s">
        <v>157</v>
      </c>
    </row>
    <row r="50" spans="1:18" s="5" customFormat="1">
      <c r="A50" s="20" t="s">
        <v>196</v>
      </c>
      <c r="B50" s="33" t="s">
        <v>68</v>
      </c>
      <c r="C50" s="20" t="s">
        <v>4</v>
      </c>
      <c r="D50" s="128" t="s">
        <v>69</v>
      </c>
      <c r="E50" s="128"/>
      <c r="F50" s="128"/>
      <c r="G50" s="128"/>
      <c r="H50" s="128"/>
      <c r="I50" s="128"/>
      <c r="J50" s="128"/>
      <c r="K50" s="128"/>
      <c r="L50" s="20" t="s">
        <v>26</v>
      </c>
      <c r="M50" s="21">
        <v>1.79</v>
      </c>
      <c r="N50" s="22">
        <v>307.01</v>
      </c>
      <c r="O50" s="22">
        <f t="shared" si="3"/>
        <v>549.54790000000003</v>
      </c>
      <c r="P50" s="22">
        <f t="shared" si="4"/>
        <v>398.468279</v>
      </c>
      <c r="Q50" s="22">
        <f t="shared" si="5"/>
        <v>713.25821941000004</v>
      </c>
      <c r="R50" s="11" t="s">
        <v>158</v>
      </c>
    </row>
    <row r="51" spans="1:18" s="5" customFormat="1">
      <c r="A51" s="20" t="s">
        <v>197</v>
      </c>
      <c r="B51" s="31" t="s">
        <v>70</v>
      </c>
      <c r="C51" s="20" t="s">
        <v>4</v>
      </c>
      <c r="D51" s="124" t="s">
        <v>71</v>
      </c>
      <c r="E51" s="124"/>
      <c r="F51" s="124"/>
      <c r="G51" s="124"/>
      <c r="H51" s="124"/>
      <c r="I51" s="124"/>
      <c r="J51" s="124"/>
      <c r="K51" s="124"/>
      <c r="L51" s="20" t="s">
        <v>26</v>
      </c>
      <c r="M51" s="28">
        <f>1+M50</f>
        <v>2.79</v>
      </c>
      <c r="N51" s="22">
        <v>81.22</v>
      </c>
      <c r="O51" s="22">
        <f t="shared" si="3"/>
        <v>226.60380000000001</v>
      </c>
      <c r="P51" s="22">
        <f t="shared" si="4"/>
        <v>105.41543800000001</v>
      </c>
      <c r="Q51" s="22">
        <f t="shared" si="5"/>
        <v>294.10907202000004</v>
      </c>
      <c r="R51" s="8" t="s">
        <v>187</v>
      </c>
    </row>
    <row r="52" spans="1:18" s="5" customFormat="1">
      <c r="A52" s="20" t="s">
        <v>198</v>
      </c>
      <c r="B52" s="27" t="s">
        <v>41</v>
      </c>
      <c r="C52" s="20" t="s">
        <v>4</v>
      </c>
      <c r="D52" s="124" t="s">
        <v>42</v>
      </c>
      <c r="E52" s="124"/>
      <c r="F52" s="124"/>
      <c r="G52" s="124"/>
      <c r="H52" s="124"/>
      <c r="I52" s="124"/>
      <c r="J52" s="124"/>
      <c r="K52" s="124"/>
      <c r="L52" s="22" t="s">
        <v>6</v>
      </c>
      <c r="M52" s="21">
        <v>20</v>
      </c>
      <c r="N52" s="29">
        <v>66.69</v>
      </c>
      <c r="O52" s="22">
        <f t="shared" si="3"/>
        <v>1333.8</v>
      </c>
      <c r="P52" s="22">
        <f t="shared" si="4"/>
        <v>86.556950999999998</v>
      </c>
      <c r="Q52" s="22">
        <f t="shared" si="5"/>
        <v>1731.1390200000001</v>
      </c>
      <c r="R52" s="8" t="s">
        <v>160</v>
      </c>
    </row>
    <row r="53" spans="1:18" s="5" customFormat="1">
      <c r="A53" s="20" t="s">
        <v>199</v>
      </c>
      <c r="B53" s="27" t="s">
        <v>159</v>
      </c>
      <c r="C53" s="20" t="s">
        <v>4</v>
      </c>
      <c r="D53" s="124" t="s">
        <v>96</v>
      </c>
      <c r="E53" s="124"/>
      <c r="F53" s="124"/>
      <c r="G53" s="124"/>
      <c r="H53" s="124"/>
      <c r="I53" s="124"/>
      <c r="J53" s="124"/>
      <c r="K53" s="124"/>
      <c r="L53" s="22" t="s">
        <v>6</v>
      </c>
      <c r="M53" s="21">
        <v>22.68</v>
      </c>
      <c r="N53" s="29">
        <v>156.11000000000001</v>
      </c>
      <c r="O53" s="22">
        <f t="shared" si="3"/>
        <v>3540.5748000000003</v>
      </c>
      <c r="P53" s="22">
        <f t="shared" si="4"/>
        <v>202.61516900000004</v>
      </c>
      <c r="Q53" s="22">
        <f t="shared" si="5"/>
        <v>4595.312032920001</v>
      </c>
      <c r="R53" s="8" t="s">
        <v>161</v>
      </c>
    </row>
    <row r="54" spans="1:18" s="5" customFormat="1" ht="96">
      <c r="A54" s="20" t="s">
        <v>200</v>
      </c>
      <c r="B54" s="27" t="s">
        <v>55</v>
      </c>
      <c r="C54" s="20" t="s">
        <v>4</v>
      </c>
      <c r="D54" s="124" t="s">
        <v>56</v>
      </c>
      <c r="E54" s="124"/>
      <c r="F54" s="124"/>
      <c r="G54" s="124"/>
      <c r="H54" s="124"/>
      <c r="I54" s="124"/>
      <c r="J54" s="124"/>
      <c r="K54" s="124"/>
      <c r="L54" s="20" t="s">
        <v>57</v>
      </c>
      <c r="M54" s="21">
        <v>607.54999999999995</v>
      </c>
      <c r="N54" s="22">
        <v>11.13</v>
      </c>
      <c r="O54" s="22">
        <f t="shared" si="3"/>
        <v>6762.0315000000001</v>
      </c>
      <c r="P54" s="22">
        <f t="shared" si="4"/>
        <v>14.445627000000002</v>
      </c>
      <c r="Q54" s="22">
        <f t="shared" si="5"/>
        <v>8776.4406838499999</v>
      </c>
      <c r="R54" s="12" t="s">
        <v>162</v>
      </c>
    </row>
    <row r="55" spans="1:18" s="5" customFormat="1" ht="84">
      <c r="A55" s="20" t="s">
        <v>201</v>
      </c>
      <c r="B55" s="20" t="s">
        <v>97</v>
      </c>
      <c r="C55" s="20" t="s">
        <v>4</v>
      </c>
      <c r="D55" s="124" t="s">
        <v>98</v>
      </c>
      <c r="E55" s="124"/>
      <c r="F55" s="124"/>
      <c r="G55" s="124"/>
      <c r="H55" s="124"/>
      <c r="I55" s="124"/>
      <c r="J55" s="124"/>
      <c r="K55" s="124"/>
      <c r="L55" s="20" t="s">
        <v>57</v>
      </c>
      <c r="M55" s="21">
        <v>91.49</v>
      </c>
      <c r="N55" s="22">
        <v>12</v>
      </c>
      <c r="O55" s="22">
        <f t="shared" si="3"/>
        <v>1097.8799999999999</v>
      </c>
      <c r="P55" s="22">
        <f t="shared" si="4"/>
        <v>15.5748</v>
      </c>
      <c r="Q55" s="22">
        <f t="shared" si="5"/>
        <v>1424.9384519999999</v>
      </c>
      <c r="R55" s="12" t="s">
        <v>163</v>
      </c>
    </row>
    <row r="56" spans="1:18" s="5" customFormat="1">
      <c r="A56" s="20" t="s">
        <v>202</v>
      </c>
      <c r="B56" s="27" t="s">
        <v>99</v>
      </c>
      <c r="C56" s="20" t="s">
        <v>4</v>
      </c>
      <c r="D56" s="136" t="s">
        <v>100</v>
      </c>
      <c r="E56" s="136"/>
      <c r="F56" s="136"/>
      <c r="G56" s="136"/>
      <c r="H56" s="136"/>
      <c r="I56" s="136"/>
      <c r="J56" s="136"/>
      <c r="K56" s="136"/>
      <c r="L56" s="20" t="s">
        <v>6</v>
      </c>
      <c r="M56" s="21">
        <v>88</v>
      </c>
      <c r="N56" s="22">
        <v>54.06</v>
      </c>
      <c r="O56" s="22">
        <f t="shared" si="3"/>
        <v>4757.2800000000007</v>
      </c>
      <c r="P56" s="22">
        <f t="shared" si="4"/>
        <v>70.164474000000013</v>
      </c>
      <c r="Q56" s="22">
        <f t="shared" si="5"/>
        <v>6174.4737120000009</v>
      </c>
      <c r="R56" s="8" t="s">
        <v>164</v>
      </c>
    </row>
    <row r="57" spans="1:18" s="5" customFormat="1">
      <c r="A57" s="20" t="s">
        <v>203</v>
      </c>
      <c r="B57" s="27" t="s">
        <v>99</v>
      </c>
      <c r="C57" s="20" t="s">
        <v>4</v>
      </c>
      <c r="D57" s="136" t="s">
        <v>101</v>
      </c>
      <c r="E57" s="136"/>
      <c r="F57" s="136"/>
      <c r="G57" s="136"/>
      <c r="H57" s="136"/>
      <c r="I57" s="136"/>
      <c r="J57" s="136"/>
      <c r="K57" s="136"/>
      <c r="L57" s="20" t="s">
        <v>6</v>
      </c>
      <c r="M57" s="21">
        <v>16</v>
      </c>
      <c r="N57" s="22">
        <v>54.06</v>
      </c>
      <c r="O57" s="22">
        <f t="shared" si="3"/>
        <v>864.96</v>
      </c>
      <c r="P57" s="22">
        <f t="shared" si="4"/>
        <v>70.164474000000013</v>
      </c>
      <c r="Q57" s="22">
        <f t="shared" si="5"/>
        <v>1122.6315840000002</v>
      </c>
      <c r="R57" s="8" t="s">
        <v>165</v>
      </c>
    </row>
    <row r="58" spans="1:18" s="5" customFormat="1">
      <c r="A58" s="20" t="s">
        <v>204</v>
      </c>
      <c r="B58" s="34" t="s">
        <v>79</v>
      </c>
      <c r="C58" s="20" t="s">
        <v>4</v>
      </c>
      <c r="D58" s="127" t="s">
        <v>80</v>
      </c>
      <c r="E58" s="127"/>
      <c r="F58" s="127"/>
      <c r="G58" s="127"/>
      <c r="H58" s="127"/>
      <c r="I58" s="127"/>
      <c r="J58" s="127"/>
      <c r="K58" s="127"/>
      <c r="L58" s="20" t="s">
        <v>6</v>
      </c>
      <c r="M58" s="21">
        <f>M43*2*2.4</f>
        <v>192</v>
      </c>
      <c r="N58" s="22">
        <v>5.05</v>
      </c>
      <c r="O58" s="22">
        <f t="shared" si="3"/>
        <v>969.59999999999991</v>
      </c>
      <c r="P58" s="22">
        <f t="shared" si="4"/>
        <v>6.5543950000000004</v>
      </c>
      <c r="Q58" s="22">
        <f t="shared" si="5"/>
        <v>1258.4438400000001</v>
      </c>
      <c r="R58" s="8" t="s">
        <v>166</v>
      </c>
    </row>
    <row r="59" spans="1:18" s="5" customFormat="1">
      <c r="A59" s="20" t="s">
        <v>205</v>
      </c>
      <c r="B59" s="27" t="s">
        <v>65</v>
      </c>
      <c r="C59" s="20" t="s">
        <v>4</v>
      </c>
      <c r="D59" s="127" t="s">
        <v>66</v>
      </c>
      <c r="E59" s="127"/>
      <c r="F59" s="127"/>
      <c r="G59" s="127"/>
      <c r="H59" s="127"/>
      <c r="I59" s="127"/>
      <c r="J59" s="127"/>
      <c r="K59" s="127"/>
      <c r="L59" s="20" t="s">
        <v>6</v>
      </c>
      <c r="M59" s="21">
        <v>40</v>
      </c>
      <c r="N59" s="22">
        <v>12.74</v>
      </c>
      <c r="O59" s="22">
        <f t="shared" si="3"/>
        <v>509.6</v>
      </c>
      <c r="P59" s="22">
        <f t="shared" si="4"/>
        <v>16.535246000000001</v>
      </c>
      <c r="Q59" s="22">
        <f t="shared" si="5"/>
        <v>661.40984000000003</v>
      </c>
      <c r="R59" s="8" t="s">
        <v>167</v>
      </c>
    </row>
    <row r="60" spans="1:18" s="6" customFormat="1" ht="14.25">
      <c r="A60" s="20" t="s">
        <v>206</v>
      </c>
      <c r="B60" s="32" t="s">
        <v>84</v>
      </c>
      <c r="C60" s="20" t="s">
        <v>4</v>
      </c>
      <c r="D60" s="128" t="s">
        <v>85</v>
      </c>
      <c r="E60" s="128"/>
      <c r="F60" s="128"/>
      <c r="G60" s="128"/>
      <c r="H60" s="128"/>
      <c r="I60" s="128"/>
      <c r="J60" s="128"/>
      <c r="K60" s="128"/>
      <c r="L60" s="20" t="s">
        <v>21</v>
      </c>
      <c r="M60" s="21">
        <f>M43</f>
        <v>40</v>
      </c>
      <c r="N60" s="22">
        <v>7.98</v>
      </c>
      <c r="O60" s="22">
        <f t="shared" si="3"/>
        <v>319.20000000000005</v>
      </c>
      <c r="P60" s="22">
        <f t="shared" si="4"/>
        <v>10.357242000000001</v>
      </c>
      <c r="Q60" s="22">
        <f t="shared" si="5"/>
        <v>414.28968000000003</v>
      </c>
      <c r="R60" s="8" t="s">
        <v>86</v>
      </c>
    </row>
    <row r="61" spans="1:18" s="5" customFormat="1">
      <c r="A61" s="20" t="s">
        <v>223</v>
      </c>
      <c r="B61" s="32" t="s">
        <v>82</v>
      </c>
      <c r="C61" s="20" t="s">
        <v>4</v>
      </c>
      <c r="D61" s="129" t="s">
        <v>83</v>
      </c>
      <c r="E61" s="129"/>
      <c r="F61" s="129"/>
      <c r="G61" s="129"/>
      <c r="H61" s="129"/>
      <c r="I61" s="129"/>
      <c r="J61" s="129"/>
      <c r="K61" s="129"/>
      <c r="L61" s="20" t="s">
        <v>21</v>
      </c>
      <c r="M61" s="21">
        <v>40</v>
      </c>
      <c r="N61" s="22">
        <v>48.61</v>
      </c>
      <c r="O61" s="22">
        <f>M61*N61</f>
        <v>1944.4</v>
      </c>
      <c r="P61" s="22">
        <f t="shared" si="4"/>
        <v>63.090919</v>
      </c>
      <c r="Q61" s="22">
        <f t="shared" si="5"/>
        <v>2523.6367599999999</v>
      </c>
      <c r="R61" s="8" t="s">
        <v>86</v>
      </c>
    </row>
    <row r="62" spans="1:18" s="5" customFormat="1">
      <c r="A62" s="20" t="s">
        <v>224</v>
      </c>
      <c r="B62" s="32" t="s">
        <v>102</v>
      </c>
      <c r="C62" s="20" t="s">
        <v>4</v>
      </c>
      <c r="D62" s="129" t="s">
        <v>103</v>
      </c>
      <c r="E62" s="129"/>
      <c r="F62" s="129"/>
      <c r="G62" s="129"/>
      <c r="H62" s="129"/>
      <c r="I62" s="129"/>
      <c r="J62" s="129"/>
      <c r="K62" s="129"/>
      <c r="L62" s="20" t="s">
        <v>16</v>
      </c>
      <c r="M62" s="21">
        <v>1</v>
      </c>
      <c r="N62" s="22">
        <v>235</v>
      </c>
      <c r="O62" s="22">
        <f>M62*N62</f>
        <v>235</v>
      </c>
      <c r="P62" s="22">
        <f t="shared" si="4"/>
        <v>305.00650000000002</v>
      </c>
      <c r="Q62" s="22">
        <f t="shared" si="5"/>
        <v>305.00650000000002</v>
      </c>
      <c r="R62" s="8" t="s">
        <v>104</v>
      </c>
    </row>
    <row r="63" spans="1:18" s="5" customFormat="1">
      <c r="A63" s="20" t="s">
        <v>225</v>
      </c>
      <c r="B63" s="32" t="s">
        <v>105</v>
      </c>
      <c r="C63" s="20" t="s">
        <v>4</v>
      </c>
      <c r="D63" s="130" t="s">
        <v>106</v>
      </c>
      <c r="E63" s="131"/>
      <c r="F63" s="131"/>
      <c r="G63" s="131"/>
      <c r="H63" s="131"/>
      <c r="I63" s="131"/>
      <c r="J63" s="131"/>
      <c r="K63" s="132"/>
      <c r="L63" s="20" t="s">
        <v>21</v>
      </c>
      <c r="M63" s="21">
        <v>15</v>
      </c>
      <c r="N63" s="22">
        <v>47.56</v>
      </c>
      <c r="O63" s="22">
        <f>M63*N63</f>
        <v>713.40000000000009</v>
      </c>
      <c r="P63" s="22">
        <f t="shared" si="4"/>
        <v>61.728124000000008</v>
      </c>
      <c r="Q63" s="22">
        <f t="shared" si="5"/>
        <v>925.92186000000015</v>
      </c>
      <c r="R63" s="8" t="s">
        <v>245</v>
      </c>
    </row>
    <row r="64" spans="1:18" s="5" customFormat="1">
      <c r="A64" s="20" t="s">
        <v>226</v>
      </c>
      <c r="B64" s="32" t="s">
        <v>73</v>
      </c>
      <c r="C64" s="20" t="s">
        <v>4</v>
      </c>
      <c r="D64" s="128" t="s">
        <v>74</v>
      </c>
      <c r="E64" s="128"/>
      <c r="F64" s="128"/>
      <c r="G64" s="128"/>
      <c r="H64" s="128"/>
      <c r="I64" s="128"/>
      <c r="J64" s="128"/>
      <c r="K64" s="128"/>
      <c r="L64" s="20" t="s">
        <v>26</v>
      </c>
      <c r="M64" s="21">
        <v>2.4</v>
      </c>
      <c r="N64" s="22">
        <v>96.07</v>
      </c>
      <c r="O64" s="22">
        <f>M64*N64</f>
        <v>230.56799999999998</v>
      </c>
      <c r="P64" s="22">
        <f t="shared" si="4"/>
        <v>124.68925299999999</v>
      </c>
      <c r="Q64" s="22">
        <f t="shared" si="5"/>
        <v>299.2542072</v>
      </c>
      <c r="R64" s="8" t="s">
        <v>169</v>
      </c>
    </row>
    <row r="65" spans="1:18" s="5" customFormat="1">
      <c r="A65" s="20" t="s">
        <v>227</v>
      </c>
      <c r="B65" s="32" t="s">
        <v>107</v>
      </c>
      <c r="C65" s="20" t="s">
        <v>4</v>
      </c>
      <c r="D65" s="130" t="s">
        <v>108</v>
      </c>
      <c r="E65" s="131"/>
      <c r="F65" s="131"/>
      <c r="G65" s="131"/>
      <c r="H65" s="131"/>
      <c r="I65" s="131"/>
      <c r="J65" s="131"/>
      <c r="K65" s="132"/>
      <c r="L65" s="20" t="s">
        <v>6</v>
      </c>
      <c r="M65" s="21">
        <f>M63*1</f>
        <v>15</v>
      </c>
      <c r="N65" s="22">
        <v>12.98</v>
      </c>
      <c r="O65" s="22">
        <f>M65*N65</f>
        <v>194.70000000000002</v>
      </c>
      <c r="P65" s="22">
        <f t="shared" si="4"/>
        <v>16.846742000000003</v>
      </c>
      <c r="Q65" s="22">
        <f t="shared" si="5"/>
        <v>252.70113000000003</v>
      </c>
      <c r="R65" s="8" t="s">
        <v>168</v>
      </c>
    </row>
    <row r="66" spans="1:18">
      <c r="A66" s="46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8"/>
      <c r="O66" s="23">
        <f>SUM(O43:O65)</f>
        <v>28685.561000000002</v>
      </c>
      <c r="P66" s="23"/>
      <c r="Q66" s="23">
        <f>SUM(Q43:Q65)</f>
        <v>37230.989621900007</v>
      </c>
      <c r="R66" s="9"/>
    </row>
    <row r="67" spans="1:18">
      <c r="A67" s="40">
        <v>4</v>
      </c>
      <c r="B67" s="40"/>
      <c r="C67" s="40"/>
      <c r="D67" s="133" t="s">
        <v>109</v>
      </c>
      <c r="E67" s="134"/>
      <c r="F67" s="134"/>
      <c r="G67" s="134"/>
      <c r="H67" s="134"/>
      <c r="I67" s="134"/>
      <c r="J67" s="134"/>
      <c r="K67" s="135"/>
      <c r="L67" s="41"/>
      <c r="M67" s="42"/>
      <c r="N67" s="43"/>
      <c r="O67" s="44"/>
      <c r="P67" s="45"/>
      <c r="Q67" s="44"/>
      <c r="R67" s="8"/>
    </row>
    <row r="68" spans="1:18">
      <c r="A68" s="20" t="s">
        <v>110</v>
      </c>
      <c r="B68" s="20" t="s">
        <v>111</v>
      </c>
      <c r="C68" s="20" t="s">
        <v>4</v>
      </c>
      <c r="D68" s="124" t="s">
        <v>112</v>
      </c>
      <c r="E68" s="124"/>
      <c r="F68" s="124"/>
      <c r="G68" s="124"/>
      <c r="H68" s="124"/>
      <c r="I68" s="124"/>
      <c r="J68" s="124"/>
      <c r="K68" s="124"/>
      <c r="L68" s="22" t="s">
        <v>6</v>
      </c>
      <c r="M68" s="36">
        <v>592.4</v>
      </c>
      <c r="N68" s="22">
        <v>1.29</v>
      </c>
      <c r="O68" s="22">
        <f t="shared" ref="O68:O78" si="6">M68*N68</f>
        <v>764.19600000000003</v>
      </c>
      <c r="P68" s="22">
        <f t="shared" ref="P68:P78" si="7">N68*1.2979</f>
        <v>1.6742910000000002</v>
      </c>
      <c r="Q68" s="22">
        <f t="shared" ref="Q68:Q78" si="8">M68*P68</f>
        <v>991.84998840000003</v>
      </c>
      <c r="R68" s="8" t="s">
        <v>245</v>
      </c>
    </row>
    <row r="69" spans="1:18">
      <c r="A69" s="20" t="s">
        <v>113</v>
      </c>
      <c r="B69" s="20" t="s">
        <v>114</v>
      </c>
      <c r="C69" s="20" t="s">
        <v>4</v>
      </c>
      <c r="D69" s="124" t="s">
        <v>115</v>
      </c>
      <c r="E69" s="124"/>
      <c r="F69" s="124"/>
      <c r="G69" s="124"/>
      <c r="H69" s="124"/>
      <c r="I69" s="124"/>
      <c r="J69" s="124"/>
      <c r="K69" s="124"/>
      <c r="L69" s="20" t="s">
        <v>26</v>
      </c>
      <c r="M69" s="21">
        <f>M68*0.12</f>
        <v>71.087999999999994</v>
      </c>
      <c r="N69" s="22">
        <v>10.38</v>
      </c>
      <c r="O69" s="22">
        <f t="shared" si="6"/>
        <v>737.89343999999994</v>
      </c>
      <c r="P69" s="22">
        <f t="shared" si="7"/>
        <v>13.472202000000001</v>
      </c>
      <c r="Q69" s="22">
        <f t="shared" si="8"/>
        <v>957.71189577600001</v>
      </c>
      <c r="R69" s="8" t="s">
        <v>171</v>
      </c>
    </row>
    <row r="70" spans="1:18">
      <c r="A70" s="20" t="s">
        <v>116</v>
      </c>
      <c r="B70" s="25" t="s">
        <v>32</v>
      </c>
      <c r="C70" s="20" t="s">
        <v>4</v>
      </c>
      <c r="D70" s="128" t="s">
        <v>33</v>
      </c>
      <c r="E70" s="128"/>
      <c r="F70" s="128"/>
      <c r="G70" s="128"/>
      <c r="H70" s="128"/>
      <c r="I70" s="128"/>
      <c r="J70" s="128"/>
      <c r="K70" s="128"/>
      <c r="L70" s="20" t="s">
        <v>26</v>
      </c>
      <c r="M70" s="21">
        <f>M68*0.03</f>
        <v>17.771999999999998</v>
      </c>
      <c r="N70" s="22">
        <v>4.99</v>
      </c>
      <c r="O70" s="22">
        <f t="shared" si="6"/>
        <v>88.682279999999992</v>
      </c>
      <c r="P70" s="22">
        <f t="shared" si="7"/>
        <v>6.4765210000000009</v>
      </c>
      <c r="Q70" s="22">
        <f t="shared" si="8"/>
        <v>115.100731212</v>
      </c>
      <c r="R70" s="8" t="s">
        <v>172</v>
      </c>
    </row>
    <row r="71" spans="1:18">
      <c r="A71" s="20" t="s">
        <v>117</v>
      </c>
      <c r="B71" s="20" t="s">
        <v>118</v>
      </c>
      <c r="C71" s="20" t="s">
        <v>4</v>
      </c>
      <c r="D71" s="124" t="s">
        <v>119</v>
      </c>
      <c r="E71" s="124"/>
      <c r="F71" s="124"/>
      <c r="G71" s="124"/>
      <c r="H71" s="124"/>
      <c r="I71" s="124"/>
      <c r="J71" s="124"/>
      <c r="K71" s="124"/>
      <c r="L71" s="20" t="s">
        <v>26</v>
      </c>
      <c r="M71" s="21">
        <f>10.3*0.06</f>
        <v>0.61799999999999999</v>
      </c>
      <c r="N71" s="22">
        <v>153.34</v>
      </c>
      <c r="O71" s="22">
        <f t="shared" si="6"/>
        <v>94.764120000000005</v>
      </c>
      <c r="P71" s="22">
        <f t="shared" si="7"/>
        <v>199.01998600000002</v>
      </c>
      <c r="Q71" s="22">
        <f t="shared" si="8"/>
        <v>122.99435134800001</v>
      </c>
      <c r="R71" s="10" t="s">
        <v>173</v>
      </c>
    </row>
    <row r="72" spans="1:18" s="5" customFormat="1" ht="24">
      <c r="A72" s="20" t="s">
        <v>120</v>
      </c>
      <c r="B72" s="26" t="s">
        <v>35</v>
      </c>
      <c r="C72" s="20" t="s">
        <v>4</v>
      </c>
      <c r="D72" s="129" t="s">
        <v>36</v>
      </c>
      <c r="E72" s="129"/>
      <c r="F72" s="129"/>
      <c r="G72" s="129"/>
      <c r="H72" s="129"/>
      <c r="I72" s="129"/>
      <c r="J72" s="129"/>
      <c r="K72" s="129"/>
      <c r="L72" s="20" t="s">
        <v>26</v>
      </c>
      <c r="M72" s="21">
        <v>0.62</v>
      </c>
      <c r="N72" s="22">
        <v>10.72</v>
      </c>
      <c r="O72" s="22">
        <f t="shared" si="6"/>
        <v>6.6464000000000008</v>
      </c>
      <c r="P72" s="22">
        <f t="shared" si="7"/>
        <v>13.913488000000001</v>
      </c>
      <c r="Q72" s="22">
        <f t="shared" si="8"/>
        <v>8.6263625600000005</v>
      </c>
      <c r="R72" s="10" t="s">
        <v>174</v>
      </c>
    </row>
    <row r="73" spans="1:18" s="5" customFormat="1">
      <c r="A73" s="20" t="s">
        <v>121</v>
      </c>
      <c r="B73" s="20" t="s">
        <v>122</v>
      </c>
      <c r="C73" s="20" t="s">
        <v>4</v>
      </c>
      <c r="D73" s="127" t="s">
        <v>123</v>
      </c>
      <c r="E73" s="127"/>
      <c r="F73" s="127"/>
      <c r="G73" s="127"/>
      <c r="H73" s="127"/>
      <c r="I73" s="127"/>
      <c r="J73" s="127"/>
      <c r="K73" s="127"/>
      <c r="L73" s="20" t="s">
        <v>6</v>
      </c>
      <c r="M73" s="21">
        <v>58.06</v>
      </c>
      <c r="N73" s="22">
        <v>17.579999999999998</v>
      </c>
      <c r="O73" s="22">
        <f t="shared" si="6"/>
        <v>1020.6948</v>
      </c>
      <c r="P73" s="22">
        <f t="shared" si="7"/>
        <v>22.817081999999999</v>
      </c>
      <c r="Q73" s="22">
        <f t="shared" si="8"/>
        <v>1324.7597809199999</v>
      </c>
      <c r="R73" s="8" t="s">
        <v>175</v>
      </c>
    </row>
    <row r="74" spans="1:18" s="6" customFormat="1" ht="24">
      <c r="A74" s="20" t="s">
        <v>124</v>
      </c>
      <c r="B74" s="27" t="s">
        <v>159</v>
      </c>
      <c r="C74" s="20" t="s">
        <v>4</v>
      </c>
      <c r="D74" s="124" t="s">
        <v>96</v>
      </c>
      <c r="E74" s="124"/>
      <c r="F74" s="124"/>
      <c r="G74" s="124"/>
      <c r="H74" s="124"/>
      <c r="I74" s="124"/>
      <c r="J74" s="124"/>
      <c r="K74" s="124"/>
      <c r="L74" s="20" t="s">
        <v>6</v>
      </c>
      <c r="M74" s="21">
        <v>27.7</v>
      </c>
      <c r="N74" s="22">
        <v>156.11000000000001</v>
      </c>
      <c r="O74" s="22">
        <f t="shared" si="6"/>
        <v>4324.2470000000003</v>
      </c>
      <c r="P74" s="22">
        <f t="shared" si="7"/>
        <v>202.61516900000004</v>
      </c>
      <c r="Q74" s="22">
        <f t="shared" si="8"/>
        <v>5612.4401813000013</v>
      </c>
      <c r="R74" s="10" t="s">
        <v>208</v>
      </c>
    </row>
    <row r="75" spans="1:18">
      <c r="A75" s="20" t="s">
        <v>125</v>
      </c>
      <c r="B75" s="20" t="s">
        <v>94</v>
      </c>
      <c r="C75" s="20" t="s">
        <v>4</v>
      </c>
      <c r="D75" s="124" t="s">
        <v>126</v>
      </c>
      <c r="E75" s="124"/>
      <c r="F75" s="124"/>
      <c r="G75" s="124"/>
      <c r="H75" s="124"/>
      <c r="I75" s="124"/>
      <c r="J75" s="124"/>
      <c r="K75" s="124"/>
      <c r="L75" s="20" t="s">
        <v>26</v>
      </c>
      <c r="M75" s="21">
        <f>M68*0.03</f>
        <v>17.771999999999998</v>
      </c>
      <c r="N75" s="22">
        <v>117.64</v>
      </c>
      <c r="O75" s="22">
        <f t="shared" si="6"/>
        <v>2090.6980799999997</v>
      </c>
      <c r="P75" s="22">
        <f t="shared" si="7"/>
        <v>152.684956</v>
      </c>
      <c r="Q75" s="22">
        <f t="shared" si="8"/>
        <v>2713.5170380319996</v>
      </c>
      <c r="R75" s="8" t="s">
        <v>176</v>
      </c>
    </row>
    <row r="76" spans="1:18">
      <c r="A76" s="20" t="s">
        <v>127</v>
      </c>
      <c r="B76" s="20" t="s">
        <v>47</v>
      </c>
      <c r="C76" s="20" t="s">
        <v>4</v>
      </c>
      <c r="D76" s="127" t="s">
        <v>128</v>
      </c>
      <c r="E76" s="127"/>
      <c r="F76" s="127"/>
      <c r="G76" s="127"/>
      <c r="H76" s="127"/>
      <c r="I76" s="127"/>
      <c r="J76" s="127"/>
      <c r="K76" s="127"/>
      <c r="L76" s="20" t="s">
        <v>26</v>
      </c>
      <c r="M76" s="21">
        <f>M68*0.06</f>
        <v>35.543999999999997</v>
      </c>
      <c r="N76" s="22">
        <v>336.54</v>
      </c>
      <c r="O76" s="22">
        <f t="shared" si="6"/>
        <v>11961.97776</v>
      </c>
      <c r="P76" s="22">
        <f t="shared" si="7"/>
        <v>436.79526600000003</v>
      </c>
      <c r="Q76" s="22">
        <f t="shared" si="8"/>
        <v>15525.450934704</v>
      </c>
      <c r="R76" s="8" t="s">
        <v>177</v>
      </c>
    </row>
    <row r="77" spans="1:18">
      <c r="A77" s="20" t="s">
        <v>129</v>
      </c>
      <c r="B77" s="20" t="s">
        <v>70</v>
      </c>
      <c r="C77" s="20" t="s">
        <v>4</v>
      </c>
      <c r="D77" s="124" t="s">
        <v>71</v>
      </c>
      <c r="E77" s="124"/>
      <c r="F77" s="124"/>
      <c r="G77" s="124"/>
      <c r="H77" s="124"/>
      <c r="I77" s="124"/>
      <c r="J77" s="124"/>
      <c r="K77" s="124"/>
      <c r="L77" s="20" t="s">
        <v>26</v>
      </c>
      <c r="M77" s="21">
        <f>M76</f>
        <v>35.543999999999997</v>
      </c>
      <c r="N77" s="22">
        <v>81.22</v>
      </c>
      <c r="O77" s="22">
        <f t="shared" si="6"/>
        <v>2886.8836799999999</v>
      </c>
      <c r="P77" s="22">
        <f t="shared" si="7"/>
        <v>105.41543800000001</v>
      </c>
      <c r="Q77" s="22">
        <f t="shared" si="8"/>
        <v>3746.8863282719999</v>
      </c>
      <c r="R77" s="8" t="s">
        <v>178</v>
      </c>
    </row>
    <row r="78" spans="1:18" ht="24">
      <c r="A78" s="20" t="s">
        <v>130</v>
      </c>
      <c r="B78" s="20" t="s">
        <v>131</v>
      </c>
      <c r="C78" s="20" t="s">
        <v>4</v>
      </c>
      <c r="D78" s="124" t="s">
        <v>207</v>
      </c>
      <c r="E78" s="124"/>
      <c r="F78" s="124"/>
      <c r="G78" s="124"/>
      <c r="H78" s="124"/>
      <c r="I78" s="124"/>
      <c r="J78" s="124"/>
      <c r="K78" s="124"/>
      <c r="L78" s="20" t="s">
        <v>57</v>
      </c>
      <c r="M78" s="21">
        <f>2.2*363.32</f>
        <v>799.30400000000009</v>
      </c>
      <c r="N78" s="22">
        <v>9.7899999999999991</v>
      </c>
      <c r="O78" s="22">
        <f t="shared" si="6"/>
        <v>7825.1861600000002</v>
      </c>
      <c r="P78" s="22">
        <f t="shared" si="7"/>
        <v>12.706441</v>
      </c>
      <c r="Q78" s="22">
        <f t="shared" si="8"/>
        <v>10156.309117064002</v>
      </c>
      <c r="R78" s="10" t="s">
        <v>179</v>
      </c>
    </row>
    <row r="79" spans="1:18">
      <c r="A79" s="46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8"/>
      <c r="O79" s="23">
        <f>SUM(O68:O78)</f>
        <v>31801.869719999999</v>
      </c>
      <c r="P79" s="23"/>
      <c r="Q79" s="23">
        <f>SUM(Q68:Q78)</f>
        <v>41275.646709588</v>
      </c>
      <c r="R79" s="9"/>
    </row>
    <row r="80" spans="1:18">
      <c r="A80" s="40">
        <v>5</v>
      </c>
      <c r="B80" s="40"/>
      <c r="C80" s="40"/>
      <c r="D80" s="125" t="s">
        <v>132</v>
      </c>
      <c r="E80" s="125"/>
      <c r="F80" s="125"/>
      <c r="G80" s="125"/>
      <c r="H80" s="125"/>
      <c r="I80" s="125"/>
      <c r="J80" s="125"/>
      <c r="K80" s="125"/>
      <c r="L80" s="41"/>
      <c r="M80" s="42"/>
      <c r="N80" s="43"/>
      <c r="O80" s="44"/>
      <c r="P80" s="45"/>
      <c r="Q80" s="44"/>
      <c r="R80" s="55"/>
    </row>
    <row r="81" spans="1:18">
      <c r="A81" s="20" t="s">
        <v>228</v>
      </c>
      <c r="B81" s="20" t="s">
        <v>133</v>
      </c>
      <c r="C81" s="20" t="s">
        <v>4</v>
      </c>
      <c r="D81" s="124" t="s">
        <v>134</v>
      </c>
      <c r="E81" s="124"/>
      <c r="F81" s="124"/>
      <c r="G81" s="124"/>
      <c r="H81" s="124"/>
      <c r="I81" s="124"/>
      <c r="J81" s="124"/>
      <c r="K81" s="124"/>
      <c r="L81" s="20" t="s">
        <v>6</v>
      </c>
      <c r="M81" s="21">
        <v>913.6</v>
      </c>
      <c r="N81" s="22">
        <v>9.9</v>
      </c>
      <c r="O81" s="22">
        <f>M81*N81</f>
        <v>9044.6400000000012</v>
      </c>
      <c r="P81" s="22">
        <f>N81*1.2979</f>
        <v>12.849210000000001</v>
      </c>
      <c r="Q81" s="22">
        <f>M81*P81</f>
        <v>11739.038256000002</v>
      </c>
      <c r="R81" s="8" t="s">
        <v>135</v>
      </c>
    </row>
    <row r="82" spans="1:18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23">
        <f>SUM(O81:O81)</f>
        <v>9044.6400000000012</v>
      </c>
      <c r="P82" s="23"/>
      <c r="Q82" s="23">
        <f>SUM(Q81:Q81)</f>
        <v>11739.038256000002</v>
      </c>
    </row>
    <row r="83" spans="1:18" s="1" customFormat="1" ht="15.75" hidden="1" thickBo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39"/>
      <c r="P83" s="39"/>
      <c r="Q83" s="39"/>
    </row>
    <row r="84" spans="1:18" ht="15.75" hidden="1" thickBot="1">
      <c r="A84" s="119"/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4"/>
      <c r="M84" s="14"/>
      <c r="N84" s="51" t="s">
        <v>136</v>
      </c>
      <c r="O84" s="52">
        <f>SUM(O16,O40,O66,O79,O82)</f>
        <v>94981.80962</v>
      </c>
      <c r="P84" s="52" t="s">
        <v>137</v>
      </c>
      <c r="Q84" s="53">
        <f>SUM(Q16,Q40,Q66,Q79,Q82)</f>
        <v>123276.890705798</v>
      </c>
    </row>
    <row r="85" spans="1:18" hidden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spans="1:18" hidden="1"/>
    <row r="87" spans="1:18" hidden="1"/>
    <row r="88" spans="1:18" hidden="1">
      <c r="A88" s="120"/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</row>
    <row r="89" spans="1:18" ht="15.75" hidden="1">
      <c r="A89" s="123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</row>
    <row r="90" spans="1:18" ht="15.75" hidden="1">
      <c r="A90" s="123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</row>
    <row r="91" spans="1:18" hidden="1"/>
    <row r="92" spans="1:18" hidden="1"/>
    <row r="93" spans="1:18" hidden="1"/>
    <row r="94" spans="1:18" hidden="1"/>
    <row r="95" spans="1:18" hidden="1"/>
    <row r="96" spans="1:18" hidden="1"/>
    <row r="97" hidden="1"/>
    <row r="98" hidden="1"/>
    <row r="99" hidden="1"/>
    <row r="100" hidden="1"/>
    <row r="101" hidden="1"/>
    <row r="102" hidden="1"/>
    <row r="103" hidden="1"/>
  </sheetData>
  <mergeCells count="79">
    <mergeCell ref="D12:K12"/>
    <mergeCell ref="A6:R7"/>
    <mergeCell ref="A9:J9"/>
    <mergeCell ref="K9:Q9"/>
    <mergeCell ref="A10:K10"/>
    <mergeCell ref="L10:N10"/>
    <mergeCell ref="D24:K24"/>
    <mergeCell ref="D13:K13"/>
    <mergeCell ref="D14:K14"/>
    <mergeCell ref="D15:K15"/>
    <mergeCell ref="A16:N16"/>
    <mergeCell ref="D17:K17"/>
    <mergeCell ref="D18:K18"/>
    <mergeCell ref="D19:K19"/>
    <mergeCell ref="D20:K20"/>
    <mergeCell ref="D21:K21"/>
    <mergeCell ref="D22:K22"/>
    <mergeCell ref="D23:K23"/>
    <mergeCell ref="D36:K36"/>
    <mergeCell ref="D25:K25"/>
    <mergeCell ref="D26:K26"/>
    <mergeCell ref="D27:K27"/>
    <mergeCell ref="D28:K28"/>
    <mergeCell ref="D29:K29"/>
    <mergeCell ref="D30:K30"/>
    <mergeCell ref="D31:K31"/>
    <mergeCell ref="D32:K32"/>
    <mergeCell ref="D33:K33"/>
    <mergeCell ref="D34:K34"/>
    <mergeCell ref="D35:K35"/>
    <mergeCell ref="D49:K49"/>
    <mergeCell ref="D37:K37"/>
    <mergeCell ref="D38:K38"/>
    <mergeCell ref="D39:K39"/>
    <mergeCell ref="D41:K41"/>
    <mergeCell ref="D42:K42"/>
    <mergeCell ref="D43:K43"/>
    <mergeCell ref="D44:K44"/>
    <mergeCell ref="D45:K45"/>
    <mergeCell ref="D46:K46"/>
    <mergeCell ref="D47:K47"/>
    <mergeCell ref="D48:K48"/>
    <mergeCell ref="D61:K61"/>
    <mergeCell ref="D50:K50"/>
    <mergeCell ref="D51:K51"/>
    <mergeCell ref="D52:K52"/>
    <mergeCell ref="D53:K53"/>
    <mergeCell ref="D54:K54"/>
    <mergeCell ref="D55:K55"/>
    <mergeCell ref="D56:K56"/>
    <mergeCell ref="D57:K57"/>
    <mergeCell ref="D58:K58"/>
    <mergeCell ref="D59:K59"/>
    <mergeCell ref="D60:K60"/>
    <mergeCell ref="D74:K74"/>
    <mergeCell ref="D62:K62"/>
    <mergeCell ref="D63:K63"/>
    <mergeCell ref="D64:K64"/>
    <mergeCell ref="D65:K65"/>
    <mergeCell ref="D67:K67"/>
    <mergeCell ref="D68:K68"/>
    <mergeCell ref="D69:K69"/>
    <mergeCell ref="D70:K70"/>
    <mergeCell ref="D71:K71"/>
    <mergeCell ref="D72:K72"/>
    <mergeCell ref="D73:K73"/>
    <mergeCell ref="A90:J90"/>
    <mergeCell ref="K90:Q90"/>
    <mergeCell ref="D75:K75"/>
    <mergeCell ref="D76:K76"/>
    <mergeCell ref="D77:K77"/>
    <mergeCell ref="D78:K78"/>
    <mergeCell ref="D80:K80"/>
    <mergeCell ref="D81:K81"/>
    <mergeCell ref="A82:N82"/>
    <mergeCell ref="A84:K84"/>
    <mergeCell ref="A88:R88"/>
    <mergeCell ref="A89:J89"/>
    <mergeCell ref="K89:Q89"/>
  </mergeCells>
  <printOptions horizontalCentered="1"/>
  <pageMargins left="0.51181102362204722" right="0.47244094488188981" top="0.39370078740157483" bottom="0.39370078740157483" header="0.51181102362204722" footer="0.51181102362204722"/>
  <pageSetup paperSize="9" scale="75" firstPageNumber="0" fitToHeight="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6"/>
  <sheetViews>
    <sheetView view="pageBreakPreview" zoomScaleNormal="100" zoomScaleSheetLayoutView="100" workbookViewId="0">
      <selection activeCell="AR18" sqref="AR18"/>
    </sheetView>
  </sheetViews>
  <sheetFormatPr defaultRowHeight="15"/>
  <cols>
    <col min="1" max="1" width="9.7109375" customWidth="1"/>
    <col min="2" max="2" width="60.5703125" customWidth="1"/>
    <col min="3" max="3" width="17.5703125" bestFit="1" customWidth="1"/>
    <col min="4" max="4" width="16.5703125" bestFit="1" customWidth="1"/>
    <col min="5" max="5" width="16.28515625" bestFit="1" customWidth="1"/>
    <col min="6" max="6" width="16.5703125" bestFit="1" customWidth="1"/>
    <col min="7" max="7" width="16.140625" bestFit="1" customWidth="1"/>
    <col min="8" max="8" width="0" hidden="1" customWidth="1"/>
    <col min="9" max="9" width="12.7109375" hidden="1" customWidth="1"/>
    <col min="10" max="18" width="0" hidden="1" customWidth="1"/>
    <col min="20" max="41" width="0" hidden="1" customWidth="1"/>
  </cols>
  <sheetData>
    <row r="1" spans="1:9">
      <c r="A1" s="56"/>
      <c r="B1" s="56"/>
      <c r="C1" s="56"/>
      <c r="D1" s="56"/>
      <c r="E1" s="56"/>
      <c r="F1" s="56"/>
      <c r="G1" s="56"/>
    </row>
    <row r="2" spans="1:9" ht="42.75" customHeight="1">
      <c r="A2" s="56"/>
      <c r="B2" s="56"/>
      <c r="C2" s="56"/>
      <c r="D2" s="56"/>
      <c r="E2" s="56"/>
      <c r="F2" s="56"/>
      <c r="G2" s="56"/>
    </row>
    <row r="3" spans="1:9" ht="33.75" customHeight="1">
      <c r="A3" s="152" t="s">
        <v>232</v>
      </c>
      <c r="B3" s="152"/>
      <c r="C3" s="152"/>
      <c r="D3" s="152"/>
      <c r="E3" s="152"/>
      <c r="F3" s="152"/>
      <c r="G3" s="152"/>
    </row>
    <row r="4" spans="1:9" ht="15.75" thickBot="1">
      <c r="A4" s="61"/>
      <c r="B4" s="61"/>
      <c r="C4" s="61"/>
      <c r="D4" s="61"/>
      <c r="E4" s="61"/>
      <c r="F4" s="61"/>
      <c r="G4" s="61"/>
    </row>
    <row r="5" spans="1:9" ht="44.25" customHeight="1" thickBot="1">
      <c r="A5" s="153" t="s">
        <v>242</v>
      </c>
      <c r="B5" s="153"/>
      <c r="C5" s="153"/>
      <c r="D5" s="154" t="s">
        <v>243</v>
      </c>
      <c r="E5" s="155"/>
      <c r="F5" s="155"/>
      <c r="G5" s="156"/>
    </row>
    <row r="6" spans="1:9" ht="15.75" thickBot="1">
      <c r="A6" s="95" t="s">
        <v>138</v>
      </c>
      <c r="B6" s="96" t="s">
        <v>233</v>
      </c>
      <c r="C6" s="96" t="s">
        <v>234</v>
      </c>
      <c r="D6" s="97" t="s">
        <v>139</v>
      </c>
      <c r="E6" s="97" t="s">
        <v>140</v>
      </c>
      <c r="F6" s="97" t="s">
        <v>141</v>
      </c>
      <c r="G6" s="98" t="s">
        <v>142</v>
      </c>
    </row>
    <row r="7" spans="1:9">
      <c r="A7" s="64">
        <v>1</v>
      </c>
      <c r="B7" s="100" t="s">
        <v>1</v>
      </c>
      <c r="C7" s="91">
        <f>'PLANILHA ORÇAMENTÁRIA'!Q17</f>
        <v>5227.2019161600001</v>
      </c>
      <c r="D7" s="115">
        <f>2321.57+726.43</f>
        <v>3048</v>
      </c>
      <c r="E7" s="106">
        <v>726.4</v>
      </c>
      <c r="F7" s="106">
        <v>726.4</v>
      </c>
      <c r="G7" s="107">
        <v>726.4</v>
      </c>
    </row>
    <row r="8" spans="1:9" ht="15.75" thickBot="1">
      <c r="A8" s="62"/>
      <c r="B8" s="63" t="s">
        <v>235</v>
      </c>
      <c r="C8" s="116">
        <f>C7/C18</f>
        <v>3.8089597340802278E-2</v>
      </c>
      <c r="D8" s="117">
        <f>D7/C7</f>
        <v>0.58310355117085622</v>
      </c>
      <c r="E8" s="117">
        <f>E7/C7</f>
        <v>0.13896536075147964</v>
      </c>
      <c r="F8" s="117">
        <f>F7/C7</f>
        <v>0.13896536075147964</v>
      </c>
      <c r="G8" s="118">
        <f>G7/C7</f>
        <v>0.13896536075147964</v>
      </c>
    </row>
    <row r="9" spans="1:9">
      <c r="A9" s="64">
        <v>2</v>
      </c>
      <c r="B9" s="65" t="s">
        <v>186</v>
      </c>
      <c r="C9" s="91">
        <f>'PLANILHA ORÇAMENTÁRIA'!Q41</f>
        <v>30497.667977407509</v>
      </c>
      <c r="D9" s="108">
        <f>C9/2</f>
        <v>15248.833988703755</v>
      </c>
      <c r="E9" s="108">
        <f>C9/2</f>
        <v>15248.833988703755</v>
      </c>
      <c r="F9" s="108"/>
      <c r="G9" s="109"/>
    </row>
    <row r="10" spans="1:9" ht="15.75" thickBot="1">
      <c r="A10" s="62"/>
      <c r="B10" s="63" t="s">
        <v>235</v>
      </c>
      <c r="C10" s="116">
        <f>C9/C18</f>
        <v>0.22223053781444452</v>
      </c>
      <c r="D10" s="117">
        <f>D9/C9</f>
        <v>0.5</v>
      </c>
      <c r="E10" s="117">
        <f>E9/C9</f>
        <v>0.5</v>
      </c>
      <c r="F10" s="117"/>
      <c r="G10" s="118"/>
    </row>
    <row r="11" spans="1:9" s="56" customFormat="1">
      <c r="A11" s="64">
        <v>3</v>
      </c>
      <c r="B11" s="100" t="s">
        <v>209</v>
      </c>
      <c r="C11" s="105">
        <f>'PLANILHA ORÇAMENTÁRIA'!Q67</f>
        <v>41725.846531039999</v>
      </c>
      <c r="D11" s="110"/>
      <c r="E11" s="108">
        <v>20862.93</v>
      </c>
      <c r="F11" s="111">
        <f>C11/2</f>
        <v>20862.923265519999</v>
      </c>
      <c r="G11" s="112"/>
    </row>
    <row r="12" spans="1:9" s="56" customFormat="1" ht="15.75" thickBot="1">
      <c r="A12" s="62"/>
      <c r="B12" s="63" t="s">
        <v>235</v>
      </c>
      <c r="C12" s="116">
        <f>C11/C18</f>
        <v>0.30404807745383017</v>
      </c>
      <c r="D12" s="117"/>
      <c r="E12" s="117">
        <f>E11/C11</f>
        <v>0.50000016139828329</v>
      </c>
      <c r="F12" s="117">
        <f>F11/C11</f>
        <v>0.5</v>
      </c>
      <c r="G12" s="118"/>
    </row>
    <row r="13" spans="1:9" s="56" customFormat="1">
      <c r="A13" s="64">
        <v>4</v>
      </c>
      <c r="B13" s="100" t="s">
        <v>109</v>
      </c>
      <c r="C13" s="105">
        <f>'PLANILHA ORÇAMENTÁRIA'!Q80</f>
        <v>47262.013334536001</v>
      </c>
      <c r="D13" s="110"/>
      <c r="E13" s="108">
        <f>C13/2</f>
        <v>23631.006667268</v>
      </c>
      <c r="F13" s="111">
        <v>18904.8</v>
      </c>
      <c r="G13" s="112">
        <v>4726.2</v>
      </c>
      <c r="I13" s="92"/>
    </row>
    <row r="14" spans="1:9" s="56" customFormat="1" ht="15.75" thickBot="1">
      <c r="A14" s="62"/>
      <c r="B14" s="63" t="s">
        <v>235</v>
      </c>
      <c r="C14" s="116">
        <f>C13/C18</f>
        <v>0.34438904146074351</v>
      </c>
      <c r="D14" s="117"/>
      <c r="E14" s="117">
        <f>E13/C13</f>
        <v>0.5</v>
      </c>
      <c r="F14" s="117">
        <f>F13/C13</f>
        <v>0.39999988714373291</v>
      </c>
      <c r="G14" s="118">
        <f>G13/C13</f>
        <v>9.9999971785933228E-2</v>
      </c>
      <c r="I14" s="104"/>
    </row>
    <row r="15" spans="1:9">
      <c r="A15" s="93">
        <v>5</v>
      </c>
      <c r="B15" s="99" t="s">
        <v>132</v>
      </c>
      <c r="C15" s="94">
        <f>'PLANILHA ORÇAMENTÁRIA'!Q83</f>
        <v>12521.640806400002</v>
      </c>
      <c r="D15" s="113"/>
      <c r="E15" s="113"/>
      <c r="F15" s="113"/>
      <c r="G15" s="114">
        <f>C15</f>
        <v>12521.640806400002</v>
      </c>
    </row>
    <row r="16" spans="1:9" ht="15.75" thickBot="1">
      <c r="A16" s="62"/>
      <c r="B16" s="63" t="s">
        <v>235</v>
      </c>
      <c r="C16" s="116">
        <f>C15/C18</f>
        <v>9.1242745930179586E-2</v>
      </c>
      <c r="D16" s="117"/>
      <c r="E16" s="117"/>
      <c r="F16" s="117"/>
      <c r="G16" s="118">
        <f>G15/C15</f>
        <v>1</v>
      </c>
    </row>
    <row r="17" spans="1:7" ht="15.75" thickBot="1">
      <c r="A17" s="66" t="s">
        <v>236</v>
      </c>
      <c r="B17" s="67"/>
      <c r="C17" s="67"/>
      <c r="D17" s="67"/>
      <c r="E17" s="67"/>
      <c r="F17" s="67"/>
      <c r="G17" s="67"/>
    </row>
    <row r="18" spans="1:7" ht="15.75" thickBot="1">
      <c r="A18" s="157" t="s">
        <v>237</v>
      </c>
      <c r="B18" s="157"/>
      <c r="C18" s="101">
        <f>C7+C9+C11+C13+C15</f>
        <v>137234.3705655435</v>
      </c>
      <c r="D18" s="69"/>
      <c r="E18" s="70"/>
      <c r="F18" s="70"/>
      <c r="G18" s="70"/>
    </row>
    <row r="19" spans="1:7">
      <c r="A19" s="148" t="s">
        <v>238</v>
      </c>
      <c r="B19" s="148"/>
      <c r="C19" s="71"/>
      <c r="D19" s="102">
        <f>D7+D9</f>
        <v>18296.833988703755</v>
      </c>
      <c r="E19" s="103">
        <f>E7+E9+E11+E13</f>
        <v>60469.170655971757</v>
      </c>
      <c r="F19" s="103">
        <f>F7+F11+F13</f>
        <v>40494.12326552</v>
      </c>
      <c r="G19" s="103">
        <f>G7+G13+G15</f>
        <v>17974.240806400001</v>
      </c>
    </row>
    <row r="20" spans="1:7">
      <c r="A20" s="148" t="s">
        <v>239</v>
      </c>
      <c r="B20" s="148"/>
      <c r="C20" s="72"/>
      <c r="D20" s="73">
        <f>D19/C18</f>
        <v>0.13332544837931207</v>
      </c>
      <c r="E20" s="74">
        <f>E19/C18</f>
        <v>0.44062701207269006</v>
      </c>
      <c r="F20" s="74">
        <f>F19/C18</f>
        <v>0.29507275108009401</v>
      </c>
      <c r="G20" s="74">
        <f>G19/C18</f>
        <v>0.1309747749949817</v>
      </c>
    </row>
    <row r="21" spans="1:7">
      <c r="A21" s="148" t="s">
        <v>240</v>
      </c>
      <c r="B21" s="148"/>
      <c r="C21" s="72"/>
      <c r="D21" s="75">
        <f>D19</f>
        <v>18296.833988703755</v>
      </c>
      <c r="E21" s="76">
        <f>D21+E19</f>
        <v>78766.004644675515</v>
      </c>
      <c r="F21" s="76">
        <f>F19+E21</f>
        <v>119260.12791019552</v>
      </c>
      <c r="G21" s="76">
        <f>F21+G19</f>
        <v>137234.36871659552</v>
      </c>
    </row>
    <row r="22" spans="1:7" ht="15.75" thickBot="1">
      <c r="A22" s="149" t="s">
        <v>241</v>
      </c>
      <c r="B22" s="149"/>
      <c r="C22" s="77"/>
      <c r="D22" s="78">
        <f>D20</f>
        <v>0.13332544837931207</v>
      </c>
      <c r="E22" s="79">
        <f>D22+E20</f>
        <v>0.5739524604520021</v>
      </c>
      <c r="F22" s="79">
        <f>F20+E22</f>
        <v>0.86902521153209611</v>
      </c>
      <c r="G22" s="79">
        <f>F22+G20</f>
        <v>0.99999998652707778</v>
      </c>
    </row>
    <row r="23" spans="1:7">
      <c r="A23" s="80"/>
      <c r="B23" s="80"/>
      <c r="C23" s="81"/>
      <c r="D23" s="82"/>
      <c r="E23" s="82"/>
      <c r="F23" s="82"/>
      <c r="G23" s="82"/>
    </row>
    <row r="24" spans="1:7">
      <c r="A24" s="150" t="s">
        <v>244</v>
      </c>
      <c r="B24" s="150"/>
      <c r="C24" s="150"/>
      <c r="D24" s="150"/>
      <c r="E24" s="150"/>
      <c r="F24" s="150"/>
      <c r="G24" s="150"/>
    </row>
    <row r="25" spans="1:7">
      <c r="A25" s="83"/>
      <c r="B25" s="83"/>
      <c r="C25" s="83"/>
      <c r="D25" s="83"/>
      <c r="E25" s="83"/>
      <c r="F25" s="83"/>
      <c r="G25" s="83"/>
    </row>
    <row r="26" spans="1:7">
      <c r="A26" s="68"/>
      <c r="B26" s="68"/>
      <c r="C26" s="68"/>
      <c r="D26" s="68"/>
      <c r="E26" s="68"/>
      <c r="F26" s="68"/>
      <c r="G26" s="68"/>
    </row>
    <row r="27" spans="1:7">
      <c r="A27" s="151"/>
      <c r="B27" s="151"/>
      <c r="C27" s="151"/>
      <c r="D27" s="151"/>
      <c r="E27" s="151"/>
      <c r="F27" s="151"/>
      <c r="G27" s="151"/>
    </row>
    <row r="28" spans="1:7">
      <c r="A28" s="68"/>
      <c r="B28" s="84"/>
      <c r="C28" s="84"/>
      <c r="D28" s="84"/>
      <c r="E28" s="84"/>
      <c r="F28" s="84"/>
      <c r="G28" s="84"/>
    </row>
    <row r="29" spans="1:7">
      <c r="A29" s="68"/>
      <c r="B29" s="84"/>
      <c r="C29" s="84"/>
      <c r="D29" s="84"/>
      <c r="E29" s="84"/>
      <c r="F29" s="84"/>
      <c r="G29" s="84"/>
    </row>
    <row r="30" spans="1:7">
      <c r="A30" s="68"/>
      <c r="B30" s="68"/>
      <c r="C30" s="68"/>
      <c r="D30" s="85"/>
      <c r="E30" s="85"/>
      <c r="F30" s="85"/>
      <c r="G30" s="85"/>
    </row>
    <row r="31" spans="1:7">
      <c r="A31" s="68"/>
      <c r="B31" s="68"/>
      <c r="C31" s="68"/>
      <c r="D31" s="86"/>
      <c r="E31" s="87"/>
      <c r="F31" s="87"/>
      <c r="G31" s="85"/>
    </row>
    <row r="32" spans="1:7">
      <c r="A32" s="68"/>
      <c r="B32" s="68"/>
      <c r="C32" s="68"/>
      <c r="D32" s="86"/>
      <c r="E32" s="87"/>
      <c r="F32" s="88"/>
      <c r="G32" s="89"/>
    </row>
    <row r="33" spans="1:7">
      <c r="A33" s="68"/>
      <c r="B33" s="68"/>
      <c r="C33" s="68"/>
      <c r="D33" s="86"/>
      <c r="E33" s="87"/>
      <c r="F33" s="88"/>
      <c r="G33" s="89"/>
    </row>
    <row r="34" spans="1:7">
      <c r="A34" s="68"/>
      <c r="B34" s="68"/>
      <c r="C34" s="68"/>
      <c r="D34" s="86"/>
      <c r="E34" s="86"/>
      <c r="F34" s="90"/>
      <c r="G34" s="89"/>
    </row>
    <row r="35" spans="1:7">
      <c r="A35" s="68"/>
      <c r="B35" s="68"/>
      <c r="C35" s="68"/>
      <c r="D35" s="68"/>
      <c r="E35" s="68"/>
      <c r="F35" s="68"/>
      <c r="G35" s="68"/>
    </row>
    <row r="36" spans="1:7">
      <c r="A36" s="68"/>
      <c r="B36" s="68"/>
      <c r="C36" s="68"/>
      <c r="D36" s="68"/>
      <c r="E36" s="68"/>
      <c r="F36" s="68"/>
      <c r="G36" s="68"/>
    </row>
  </sheetData>
  <mergeCells count="10">
    <mergeCell ref="A21:B21"/>
    <mergeCell ref="A22:B22"/>
    <mergeCell ref="A24:G24"/>
    <mergeCell ref="A27:G27"/>
    <mergeCell ref="A3:G3"/>
    <mergeCell ref="A5:C5"/>
    <mergeCell ref="D5:G5"/>
    <mergeCell ref="A18:B18"/>
    <mergeCell ref="A19:B19"/>
    <mergeCell ref="A20:B20"/>
  </mergeCells>
  <pageMargins left="1.299212598425197" right="0.51181102362204722" top="0.78740157480314965" bottom="0.78740157480314965" header="0.31496062992125984" footer="0.31496062992125984"/>
  <pageSetup paperSize="9" scale="80" orientation="landscape" horizontalDpi="0" verticalDpi="0" r:id="rId1"/>
  <ignoredErrors>
    <ignoredError sqref="G15 D9:E9 E13 F21:F2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PLANILHA ORÇAMENTÁRIA</vt:lpstr>
      <vt:lpstr>MEMÓRIA DE CÁLCULO</vt:lpstr>
      <vt:lpstr>CRONOGRAMA</vt:lpstr>
      <vt:lpstr>'MEMÓRIA DE CÁLCULO'!Area_de_impressao</vt:lpstr>
      <vt:lpstr>'PLANILHA ORÇAMENTÁRIA'!Area_de_impressao</vt:lpstr>
      <vt:lpstr>'MEMÓRIA DE CÁLCULO'!Titulos_de_impressao</vt:lpstr>
      <vt:lpstr>'PLANILHA ORÇAMENTÁRIA'!Titulos_de_impressao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Soiurb</dc:creator>
  <cp:lastModifiedBy>Soiurb</cp:lastModifiedBy>
  <cp:revision>50</cp:revision>
  <cp:lastPrinted>2021-11-08T19:45:55Z</cp:lastPrinted>
  <dcterms:created xsi:type="dcterms:W3CDTF">2020-01-23T14:10:06Z</dcterms:created>
  <dcterms:modified xsi:type="dcterms:W3CDTF">2021-12-09T18:15:32Z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