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EstaPasta_de_trabalho"/>
  <mc:AlternateContent xmlns:mc="http://schemas.openxmlformats.org/markup-compatibility/2006">
    <mc:Choice Requires="x15">
      <x15ac:absPath xmlns:x15ac="http://schemas.microsoft.com/office/spreadsheetml/2010/11/ac" url="D:\Arquivos\Desktop\CAIXA\"/>
    </mc:Choice>
  </mc:AlternateContent>
  <xr:revisionPtr revIDLastSave="0" documentId="13_ncr:1_{2E293CEC-CBE9-481E-A58D-E2C7AF6F94E1}" xr6:coauthVersionLast="47" xr6:coauthVersionMax="47" xr10:uidLastSave="{00000000-0000-0000-0000-000000000000}"/>
  <workbookProtection workbookAlgorithmName="SHA-512" workbookHashValue="J1Nli1AhF2UsXszi3D3OXnjC7mK9hqshjyct/srMwUmwYo3Snnm4l58mzJV2K0rV7HjtaJCkVabK4rXOUpR+Hg==" workbookSaltValue="wPCvr1dZVHuzS963Fvkp2Q==" workbookSpinCount="100000" lockStructure="1"/>
  <bookViews>
    <workbookView xWindow="-120" yWindow="-120" windowWidth="29040" windowHeight="15720"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BM!$C$15:$C$56</definedName>
    <definedName name="_xlnm._FilterDatabase" localSheetId="6" hidden="1">CÁLCULO!$C$15:$C$56</definedName>
    <definedName name="_xlnm._FilterDatabase" localSheetId="8" hidden="1">CRONO!$G$13:$G$55</definedName>
    <definedName name="_xlnm._FilterDatabase" localSheetId="7" hidden="1">CRONOPLE!$A$13:$A$37</definedName>
    <definedName name="_xlnm._FilterDatabase" localSheetId="5" hidden="1">EVENTOS!$A$13:$A$30</definedName>
    <definedName name="_xlnm._FilterDatabase" localSheetId="4" hidden="1">ORÇAMENTO!$L$15:$L$56</definedName>
    <definedName name="_xlnm._FilterDatabase" localSheetId="10" hidden="1">PLE!$A$13:$A$39</definedName>
    <definedName name="_xlnm._FilterDatabase" localSheetId="9" hidden="1">QCI!$C$13:$C$16</definedName>
    <definedName name="_xlnm._FilterDatabase" localSheetId="12" hidden="1">RRE!$D$13:$D$21</definedName>
    <definedName name="ACOMPANHAMENTO" hidden="1">MENU!$J$4</definedName>
    <definedName name="AdmLocal" hidden="1">CÁLCULO!$A$11</definedName>
    <definedName name="_xlnm.Print_Area" localSheetId="3">BDI!$J$1:$S$132</definedName>
    <definedName name="_xlnm.Print_Area" localSheetId="11">BM!$D$1:$O$71</definedName>
    <definedName name="_xlnm.Print_Area" localSheetId="6">CÁLCULO!$E$6:$AA$64</definedName>
    <definedName name="_xlnm.Print_Area" localSheetId="8">CRONO!$I$1:$AG$55</definedName>
    <definedName name="_xlnm.Print_Area" localSheetId="5">EVENTOS!$C$2:$O$30</definedName>
    <definedName name="_xlnm.Print_Area" localSheetId="1">MENU!$A$1:$I$25</definedName>
    <definedName name="_xlnm.Print_Area" localSheetId="13">OFÍCIO!$A$1:$G$56</definedName>
    <definedName name="_xlnm.Print_Area" localSheetId="4">ORÇAMENTO!$O$1:$Y$73</definedName>
    <definedName name="_xlnm.Print_Area" localSheetId="10">PLE!$B$3:$AG$40</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BM!$C$15:$C$56</definedName>
    <definedName name="BM.firstrow" hidden="1">BM!$15:$15</definedName>
    <definedName name="BM.FormulaMed" hidden="1">BM!$AO$7</definedName>
    <definedName name="BM.lastrow" hidden="1">BM!$56:$56</definedName>
    <definedName name="BM.LinhaPadrão" hidden="1">BM!$14:$14</definedName>
    <definedName name="BM.MaxMed" hidden="1">IF(RegimeExecucao="Global",1,BM!$G1)</definedName>
    <definedName name="BM.MCAIXA.Filter" hidden="1">BM!$C$15:$Z$56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CÁLCULO!$C$15:$C$56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CÁLCULO!$56:$56</definedName>
    <definedName name="CÁLCULO.LinhaPadrão" hidden="1">CÁLCULO!$14:$14</definedName>
    <definedName name="CÁLCULO.margemrow" hidden="1">CÁLCULO!$64:$64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CÁLCULO!$56:$56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CÁLCULO!$56:$56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CÁLCULO!$56:$56</definedName>
    <definedName name="CÁLCULO.nEvento" hidden="1">CÁLCULO!$M$12</definedName>
    <definedName name="CÁLCULO.NúmeroDeEventos" hidden="1">IF(AUTOEVENTO&lt;&gt;"manual",MAX(CÁLCULO!$M$15:$M$56),MAX(OFFSET(EVENTOS!$C$1:$C$23,1,0)))</definedName>
    <definedName name="CÁLCULO.NúmeroDeFrentes" hidden="1">COLUMN(CÁLCULO!$AA$15)-COLUMN(CÁLCULO!$Q$15)</definedName>
    <definedName name="CÁLCULO.Título" hidden="1">CÁLCULO!$F$6</definedName>
    <definedName name="CÁLCULO.TotalAdmLocal" hidden="1">IF(AUTOEVENTO="manual",SUMIF(CÁLCULO!$M$15:$M$56,1,ORÇAMENTO!$X$15:$X$56),0)</definedName>
    <definedName name="CRONO.ColAux" hidden="1">CRONO!$M:$R</definedName>
    <definedName name="CRONO.ColunaPadrão" hidden="1">CRONO!$E:$E</definedName>
    <definedName name="CRONO.Erro" hidden="1">CRONO!$K$10</definedName>
    <definedName name="CRONO.Filtro" hidden="1">CRONO!$G$13:$G$55</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CRONO!$38:$38</definedName>
    <definedName name="CRONO.lastrow2" hidden="1">CRONO!$50:$50</definedName>
    <definedName name="CRONO.LinhaPadrão" hidden="1">CRONO!$1:$3</definedName>
    <definedName name="CRONO.LinhasNecessarias" hidden="1">COUNTIF(QCI!$B$13:$B$15,"Manual")+COUNTIF(QCI!$B$13:$B$15,"SemiAuto")+COUNT(ORÇAMENTO.ListaCrono)</definedName>
    <definedName name="CRONO.Lista.AdmLocal" hidden="1">CRONO!$A$13:$A$38</definedName>
    <definedName name="CRONO.Lista.Níveis" hidden="1">CRONO!$A$9:$A$11</definedName>
    <definedName name="CRONO.margemrow" hidden="1">CRONO!$55:$55</definedName>
    <definedName name="CRONO.MaxParc" hidden="1">CRONO!$H1048576+CRONO!A1</definedName>
    <definedName name="CRONO.NivelExibicao" hidden="1">CRONO!$H$10</definedName>
    <definedName name="CRONO.Parcela1" hidden="1">CRONO!$U$12:$U$13</definedName>
    <definedName name="CRONO.ParcelaFinal" hidden="1">MATCH(100%,CRONO!$U$44:$AG$44,0)</definedName>
    <definedName name="CRONO.Título" hidden="1">CRONO!$S$4</definedName>
    <definedName name="CRONOPLE.ColunaPadrão" hidden="1">CRONOPLE!$E:$E</definedName>
    <definedName name="CRONOPLE.Erro" hidden="1">CRONOPLE!$B$6</definedName>
    <definedName name="CRONOPLE.Filtro" hidden="1">CRONOPLE!$A$13:$A$37</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CRONOPLE!$23:$23</definedName>
    <definedName name="CRONOPLE.lastrow2" hidden="1">CRONOPLE!$32:$32</definedName>
    <definedName name="CRONOPLE.LinhaPadrão" hidden="1">CRONOPLE!$1:$1</definedName>
    <definedName name="CRONOPLE.Lista.AdmLocal" hidden="1">CRONOPLE!$F$15:$F$23</definedName>
    <definedName name="CRONOPLE.margemrow" hidden="1">CRONOPLE!$39:$39</definedName>
    <definedName name="CRONOPLE.Título" hidden="1">CRONOPLE!$G$2</definedName>
    <definedName name="CRONOPLE.ValorDoEvento" hidden="1">SUMIF(CÁLCULO!$M$15:$M$56,CRONOPLE!$B1,OFFSET(CÁLCULO!$AA$15:$AA$56,0,CRONOPLE!A$12))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EVENTOS!$A$13:$A$30</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EVENTOS!$23:$23</definedName>
    <definedName name="EVENTOS.LinhaPadrão" hidden="1">EVENTOS!$1:$1</definedName>
    <definedName name="EVENTOS.Lista" hidden="1">EVENTOS!$C$15:OFFSET(EVENTOS!$C$23,-1,0)</definedName>
    <definedName name="EVENTOS.Lista.Agrupar" hidden="1">EVENTOS!$B$6:$B$9</definedName>
    <definedName name="EVENTOS.ListaValidacao" hidden="1">EVENTOS!$B$15:OFFSET(EVENTOS!$B$23,-1,0)</definedName>
    <definedName name="EVENTOS.Manual.Preenchidos" hidden="1">EVENTOS!$C$10</definedName>
    <definedName name="EVENTOS.MargemRow" hidden="1">EVENTOS!$30:$30</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BM!$D$59</definedName>
    <definedName name="Import.BMAFAcumulado" hidden="1">OFFSET(BM!$R$15,1,0):OFFSET(BM!$R$56,-1,0)</definedName>
    <definedName name="Import.BMArred" hidden="1">BM!$A$9</definedName>
    <definedName name="Import.CNPJ" hidden="1">DADOS!$C$39</definedName>
    <definedName name="Import.Código" hidden="1">OFFSET(ORÇAMENTO!$Q$15,1,0):OFFSET(ORÇAMENTO!$Q$56,-1,0)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OFFSET(CRONOPLE!$F$15,1,1):OFFSET(CRONOPLE!$AF$23,-1,-1)</definedName>
    <definedName name="Import.CTEF" hidden="1">DADOS!$C$37</definedName>
    <definedName name="Import.CustoUnitário" hidden="1">OFFSET(ORÇAMENTO!$U$15,1,0):OFFSET(ORÇAMENTO!$U$56,-1,0)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OFFSET(ORÇAMENTO!$R$15,1,0):OFFSET(ORÇAMENTO!$R$56,-1,0)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OFFSET(EVENTOS!$D$15,1,0):OFFSET(EVENTOS!$D$23,-1,0)</definedName>
    <definedName name="Import.Fonte" hidden="1">OFFSET(ORÇAMENTO!$P$15,1,0):OFFSET(ORÇAMENTO!$P$56,-1,0)</definedName>
    <definedName name="Import.FrenteDeObra" hidden="1">CÁLCULO!$Q$12:OFFSET(CÁLCULO!$AA$12,0,-1)</definedName>
    <definedName name="Import.MacrosserviçoAdmLocal" hidden="1">CRONO!$H$49</definedName>
    <definedName name="Import.Município" hidden="1">DADOS!$C$6</definedName>
    <definedName name="Import.Nível" hidden="1">OFFSET(ORÇAMENTO!$M$15,1,0):OFFSET(ORÇAMENTO!$M$56,-1,0)</definedName>
    <definedName name="Import.Ofício.Dest" hidden="1">OFÍCIO!$B$11</definedName>
    <definedName name="Import.Ofício.GIGOV" hidden="1">OFÍCIO!$C$11</definedName>
    <definedName name="Import.Ofício.Num" hidden="1">OFÍCIO!$C$6</definedName>
    <definedName name="Import.OpcaoBDI" hidden="1">OFFSET(ORÇAMENTO!$V$15,1,0):OFFSET(ORÇAMENTO!$V$56,-1,0)</definedName>
    <definedName name="Import.ORÇAMENTO.DivRecurso" hidden="1">OFFSET(ORÇAMENTO!$Y$15,1,0):OFFSET(ORÇAMENTO!$Y$56,-1,0)</definedName>
    <definedName name="Import.ORÇAMENTO.Obs" hidden="1">ORÇAMENTO!$O$62</definedName>
    <definedName name="Import.PLE" hidden="1">OFFSET(PLE!$G$15,1,1):OFFSET(PLE!$AG$23,-1,-1)</definedName>
    <definedName name="Import.PLE.Datas" hidden="1">PLE!$I$26:$AF$26</definedName>
    <definedName name="Import.PLQ" hidden="1">OFFSET(CÁLCULO!$P$15,1,1):OFFSET(CÁLCULO!$AA$56,-1,-1)</definedName>
    <definedName name="Import.PLQ.MemCalc" hidden="1">OFFSET(CÁLCULO!$I$15,1,0):OFFSET(CÁLCULO!$I$56,-1,0)</definedName>
    <definedName name="Import.PLQ.nAgrupEvent" hidden="1">OFFSET(CÁLCULO!$K$15,1,0):OFFSET(CÁLCULO!$K$56,-1,0)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OFFSET(ORÇAMENTO!$AJ$15,1,0):OFFSET(ORÇAMENTO!$AJ$56,-1,0)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OFFSET(ORÇAMENTO!$S$15,1,0):OFFSET(ORÇAMENTO!$S$56,-1,0)</definedName>
    <definedName name="Import.UnitarioLicitado" hidden="1">OFFSET(ORÇAMENTO!$AL$15,1,0):OFFSET(ORÇAMENTO!$AL$56,-1,0)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ORÇAMENTO!$L$15:$L$56</definedName>
    <definedName name="ORÇAMENTO.firstrow" hidden="1">ORÇAMENTO!$15:$15</definedName>
    <definedName name="ORÇAMENTO.Fonte" hidden="1">ORÇAMENTO!$P1</definedName>
    <definedName name="ORÇAMENTO.lastrow" hidden="1">ORÇAMENTO!$56:$56</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OFFSET(ORÇAMENTO!$AD$15,1,0):OFFSET(ORÇAMENTO!$AD$56,-1,0)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OFFSET(ORÇAMENTO!$P$15,1,0):OFFSET(ORÇAMENTO!$S$56,-1,0)</definedName>
    <definedName name="ORÇAMENTO.PasteFormat2" hidden="1">OFFSET(ORÇAMENTO!$U$15,1,0):OFFSET(ORÇAMENTO!$V$56,-1,0)</definedName>
    <definedName name="ORÇAMENTO.PrecoUnitarioLicitado" hidden="1">ORÇAMENTO!$AL1</definedName>
    <definedName name="ORÇAMENTO.QuantBM" hidden="1">ORÇAMENTO!$AJ1</definedName>
    <definedName name="ORÇAMENTO.RangeQuant" hidden="1">OFFSET(ORÇAMENTO!$T$15,1,0):OFFSET(ORÇAMENTO!$T$56,-1,0)</definedName>
    <definedName name="ORÇAMENTO.SumCPMANUAL" hidden="1">SUMIF(ORÇAMENTO!$Z$15:$Z$56,"CP",ORÇAMENTO!$AA$15:$AA$56)</definedName>
    <definedName name="ORÇAMENTO.SumINVMANUAL" hidden="1">SUMIF(ORÇAMENTO!$Z$15:$Z$56,"RP",ORÇAMENTO!$X$15:$X$56)+SUMIF(ORÇAMENTO!$Z$15:$Z$56,"CP",ORÇAMENTO!$X$15:$X$56)+SUMIF(ORÇAMENTO!$Z$15:$Z$56,"OU",ORÇAMENTO!$X$15:$X$56)</definedName>
    <definedName name="ORÇAMENTO.SumOUTROSMANUAL" hidden="1">SUMIF(ORÇAMENTO!$Z$15:$Z$56,"OU",ORÇAMENTO!$AB$15:$AB$56)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PLE!$A$13:$A$39</definedName>
    <definedName name="PLE.FirstCol" hidden="1">PLE!$G:$G</definedName>
    <definedName name="PLE.firstrow" hidden="1">PLE!$15:$15</definedName>
    <definedName name="PLE.FrenteRow" hidden="1">PLE!$11:$11</definedName>
    <definedName name="PLE.LastCol" hidden="1">PLE!$AG:$AG</definedName>
    <definedName name="PLE.lastrow" hidden="1">PLE!$23:$23</definedName>
    <definedName name="PLE.LinhaPadrão" hidden="1">PLE!$1:$1</definedName>
    <definedName name="PLE.margemrow" hidden="1">PLE!$40:$40</definedName>
    <definedName name="PLE.Medicao" hidden="1">PLE!$J$9</definedName>
    <definedName name="PLE.MEDIÇÕES.firstrow" hidden="1">PLE!$24:$24</definedName>
    <definedName name="PLE.MEDIÇÕES.lastrow" hidden="1">PLE!$34:$34</definedName>
    <definedName name="PLE.MEDIÇÕES.LinhaPadrão" hidden="1">PLE!$24:$31</definedName>
    <definedName name="PLE.Título" hidden="1">PLE!$H$3</definedName>
    <definedName name="PLE.ValorDoEvento" hidden="1">SUMIF(CÁLCULO!$M$15:$M$56,PLE!$B1,OFFSET(CÁLCULO!$AA$15:$AA$56,0,PLE!A$12))</definedName>
    <definedName name="PO.ValoresBDI" hidden="1">OFFSET(ORÇAMENTO!$AH$15,1,0):OFFSET(ORÇAMENTO!$AH$56,-1,0)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OFFSET(DADOS!$L$2,1,0,COUNTA(DADOS!$L:$L)-1,1)</definedName>
    <definedName name="QCI.lastrow" hidden="1">QCI!$15:$15</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 i="7" l="1"/>
  <c r="G36" i="8" a="1"/>
  <c r="G36" i="8" s="1"/>
  <c r="H22" i="12" a="1"/>
  <c r="H22" i="12" s="1"/>
  <c r="G22" i="12" a="1"/>
  <c r="G22" i="12" s="1"/>
  <c r="F22" i="12" a="1"/>
  <c r="F22" i="12" s="1"/>
  <c r="A22" i="5"/>
  <c r="H21" i="12" a="1"/>
  <c r="H21" i="12" s="1"/>
  <c r="G21" i="12" a="1"/>
  <c r="G21" i="12" s="1"/>
  <c r="F21" i="12" a="1"/>
  <c r="F21" i="12" s="1"/>
  <c r="A21" i="5"/>
  <c r="S40" i="16"/>
  <c r="S39" i="16"/>
  <c r="S38" i="16"/>
  <c r="S36" i="16"/>
  <c r="S35" i="16"/>
  <c r="S34" i="16"/>
  <c r="S33" i="16"/>
  <c r="S31" i="16"/>
  <c r="S30" i="16"/>
  <c r="S29" i="16"/>
  <c r="S28" i="16"/>
  <c r="S26" i="16"/>
  <c r="S25" i="16"/>
  <c r="S24" i="16"/>
  <c r="S23" i="16"/>
  <c r="S22" i="16"/>
  <c r="S21" i="16"/>
  <c r="S20" i="16"/>
  <c r="S19" i="16"/>
  <c r="S18" i="16"/>
  <c r="S17" i="16"/>
  <c r="S15" i="16"/>
  <c r="S14" i="16"/>
  <c r="S13" i="16"/>
  <c r="S12" i="16"/>
  <c r="S11" i="16"/>
  <c r="S10" i="16"/>
  <c r="S9" i="16"/>
  <c r="S8" i="16"/>
  <c r="S7" i="16"/>
  <c r="S5" i="16"/>
  <c r="S4" i="16"/>
  <c r="S3" i="16"/>
  <c r="L38" i="16"/>
  <c r="L37" i="16"/>
  <c r="L36" i="16"/>
  <c r="L35" i="16"/>
  <c r="L34" i="16"/>
  <c r="L33" i="16"/>
  <c r="L32" i="16"/>
  <c r="L31" i="16"/>
  <c r="L30" i="16"/>
  <c r="L29" i="16"/>
  <c r="L28" i="16"/>
  <c r="L27" i="16"/>
  <c r="L26" i="16"/>
  <c r="L25" i="16"/>
  <c r="L24" i="16"/>
  <c r="L23" i="16"/>
  <c r="L22" i="16"/>
  <c r="L21" i="16"/>
  <c r="L20" i="16"/>
  <c r="L19" i="16"/>
  <c r="L18" i="16"/>
  <c r="L17" i="16"/>
  <c r="L16" i="16"/>
  <c r="L15" i="16"/>
  <c r="L14" i="16"/>
  <c r="L13" i="16"/>
  <c r="L12" i="16"/>
  <c r="L11" i="16"/>
  <c r="L10" i="16"/>
  <c r="L9" i="16"/>
  <c r="L8" i="16"/>
  <c r="L7" i="16"/>
  <c r="L6" i="16"/>
  <c r="L5" i="16"/>
  <c r="L4" i="16"/>
  <c r="L3" i="16"/>
  <c r="L2" i="16"/>
  <c r="K38" i="16"/>
  <c r="K36" i="16"/>
  <c r="K35" i="16"/>
  <c r="K34" i="16"/>
  <c r="K33" i="16"/>
  <c r="K31" i="16"/>
  <c r="K30" i="16"/>
  <c r="K29" i="16"/>
  <c r="K28" i="16"/>
  <c r="K26" i="16"/>
  <c r="K25" i="16"/>
  <c r="K24" i="16"/>
  <c r="K23" i="16"/>
  <c r="K22" i="16"/>
  <c r="K21" i="16"/>
  <c r="K20" i="16"/>
  <c r="K19" i="16"/>
  <c r="K18" i="16"/>
  <c r="K17" i="16"/>
  <c r="K15" i="16"/>
  <c r="K14" i="16"/>
  <c r="K13" i="16"/>
  <c r="K12" i="16"/>
  <c r="K11" i="16"/>
  <c r="K10" i="16"/>
  <c r="K9" i="16"/>
  <c r="K8" i="16"/>
  <c r="K7" i="16"/>
  <c r="K5" i="16"/>
  <c r="K4" i="16"/>
  <c r="K3" i="16"/>
  <c r="F38" i="16"/>
  <c r="F36" i="16"/>
  <c r="F35" i="16"/>
  <c r="F34" i="16"/>
  <c r="F33" i="16"/>
  <c r="F31" i="16"/>
  <c r="F30" i="16"/>
  <c r="F29" i="16"/>
  <c r="F28" i="16"/>
  <c r="F26" i="16"/>
  <c r="F25" i="16"/>
  <c r="F24" i="16"/>
  <c r="F23" i="16"/>
  <c r="F22" i="16"/>
  <c r="F21" i="16"/>
  <c r="F20" i="16"/>
  <c r="F19" i="16"/>
  <c r="F18" i="16"/>
  <c r="F17" i="16"/>
  <c r="F15" i="16"/>
  <c r="F14" i="16"/>
  <c r="F13" i="16"/>
  <c r="F12" i="16"/>
  <c r="F11" i="16"/>
  <c r="F10" i="16"/>
  <c r="F9" i="16"/>
  <c r="F8" i="16"/>
  <c r="F7" i="16"/>
  <c r="F5" i="16"/>
  <c r="F4" i="16"/>
  <c r="F3" i="16"/>
  <c r="H36" i="12" a="1"/>
  <c r="H36" i="12" s="1"/>
  <c r="G36" i="12" a="1"/>
  <c r="G36" i="12" s="1"/>
  <c r="F36" i="12" a="1"/>
  <c r="F36" i="12" s="1"/>
  <c r="A36" i="5"/>
  <c r="H43" i="12" l="1" a="1"/>
  <c r="H43" i="12" s="1"/>
  <c r="G43" i="12" a="1"/>
  <c r="G43" i="12" s="1"/>
  <c r="F43" i="12" a="1"/>
  <c r="F43" i="12" s="1"/>
  <c r="H42" i="12" a="1"/>
  <c r="H42" i="12" s="1"/>
  <c r="G42" i="12" a="1"/>
  <c r="G42" i="12" s="1"/>
  <c r="F42" i="12" a="1"/>
  <c r="F42" i="12" s="1"/>
  <c r="H41" i="12" a="1"/>
  <c r="H41" i="12" s="1"/>
  <c r="G41" i="12" a="1"/>
  <c r="G41" i="12" s="1"/>
  <c r="F41" i="12" a="1"/>
  <c r="F41" i="12" s="1"/>
  <c r="H40" i="12" a="1"/>
  <c r="H40" i="12" s="1"/>
  <c r="G40" i="12" a="1"/>
  <c r="G40" i="12" s="1"/>
  <c r="F40" i="12" a="1"/>
  <c r="F40" i="12" s="1"/>
  <c r="H39" i="12" a="1"/>
  <c r="H39" i="12" s="1"/>
  <c r="G39" i="12" a="1"/>
  <c r="G39" i="12" s="1"/>
  <c r="F39" i="12" a="1"/>
  <c r="F39" i="12" s="1"/>
  <c r="A43" i="5"/>
  <c r="A42" i="5"/>
  <c r="A41" i="5"/>
  <c r="A40" i="5"/>
  <c r="A39" i="5"/>
  <c r="H32" i="12" a="1"/>
  <c r="H32" i="12" s="1"/>
  <c r="G32" i="12" a="1"/>
  <c r="G32" i="12" s="1"/>
  <c r="F32" i="12" a="1"/>
  <c r="F32" i="12" s="1"/>
  <c r="H31" i="12" a="1"/>
  <c r="H31" i="12" s="1"/>
  <c r="G31" i="12" a="1"/>
  <c r="G31" i="12" s="1"/>
  <c r="F31" i="12" a="1"/>
  <c r="F31" i="12" s="1"/>
  <c r="H30" i="12" a="1"/>
  <c r="H30" i="12" s="1"/>
  <c r="G30" i="12" a="1"/>
  <c r="G30" i="12" s="1"/>
  <c r="F30" i="12" a="1"/>
  <c r="F30" i="12" s="1"/>
  <c r="H29" i="12" a="1"/>
  <c r="H29" i="12" s="1"/>
  <c r="G29" i="12" a="1"/>
  <c r="G29" i="12" s="1"/>
  <c r="F29" i="12" a="1"/>
  <c r="F29" i="12" s="1"/>
  <c r="A32" i="5"/>
  <c r="A31" i="5"/>
  <c r="A30" i="5"/>
  <c r="A29" i="5"/>
  <c r="H28" i="12" a="1"/>
  <c r="H28" i="12" s="1"/>
  <c r="G28" i="12" a="1"/>
  <c r="G28" i="12" s="1"/>
  <c r="F28" i="12" a="1"/>
  <c r="F28" i="12" s="1"/>
  <c r="A28" i="5"/>
  <c r="H19" i="12" a="1"/>
  <c r="H19" i="12" s="1"/>
  <c r="G19" i="12" a="1"/>
  <c r="G19" i="12" s="1"/>
  <c r="F19" i="12" a="1"/>
  <c r="F19" i="12" s="1"/>
  <c r="A19" i="5"/>
  <c r="C25" i="2"/>
  <c r="C192" i="3"/>
  <c r="H14" i="13"/>
  <c r="G14" i="13"/>
  <c r="S14" i="11"/>
  <c r="D14" i="11"/>
  <c r="E14" i="13" s="1"/>
  <c r="A14" i="11"/>
  <c r="B14" i="8"/>
  <c r="B17" i="8" s="1"/>
  <c r="A22" i="7"/>
  <c r="A21" i="7"/>
  <c r="A20" i="7"/>
  <c r="A19" i="7"/>
  <c r="A18" i="7"/>
  <c r="A16" i="7"/>
  <c r="L16" i="6"/>
  <c r="A55" i="5"/>
  <c r="A54" i="5"/>
  <c r="A53" i="5"/>
  <c r="A52" i="5"/>
  <c r="A51" i="5"/>
  <c r="A50" i="5"/>
  <c r="A49" i="5"/>
  <c r="A48" i="5"/>
  <c r="A47" i="5"/>
  <c r="A46" i="5"/>
  <c r="A45" i="5"/>
  <c r="A44" i="5"/>
  <c r="A38" i="5"/>
  <c r="A37" i="5"/>
  <c r="A35" i="5"/>
  <c r="A34" i="5"/>
  <c r="A33" i="5"/>
  <c r="A27" i="5"/>
  <c r="A26" i="5"/>
  <c r="A25" i="5"/>
  <c r="A24" i="5"/>
  <c r="A23" i="5"/>
  <c r="A20" i="5"/>
  <c r="A18" i="5"/>
  <c r="A17" i="5"/>
  <c r="C16" i="5"/>
  <c r="F16" i="5" s="1"/>
  <c r="A16" i="5"/>
  <c r="R101" i="4"/>
  <c r="J105" i="4"/>
  <c r="J102" i="4"/>
  <c r="J101" i="4"/>
  <c r="J65" i="4"/>
  <c r="J62" i="4"/>
  <c r="J61" i="4"/>
  <c r="C188" i="3"/>
  <c r="G16" i="5" l="1"/>
  <c r="I16" i="5"/>
  <c r="N16" i="5"/>
  <c r="D16" i="6" s="1"/>
  <c r="B16" i="5"/>
  <c r="A16" i="12"/>
  <c r="B16" i="6"/>
  <c r="E16" i="12"/>
  <c r="H16" i="5"/>
  <c r="W16" i="5" a="1"/>
  <c r="W16" i="5" s="1"/>
  <c r="H16" i="12" s="1" a="1"/>
  <c r="H16" i="12" s="1"/>
  <c r="AE16" i="5" a="1"/>
  <c r="AE16" i="5" s="1"/>
  <c r="B20" i="8"/>
  <c r="C184" i="3"/>
  <c r="C183" i="3"/>
  <c r="C181" i="3"/>
  <c r="B23" i="8" l="1"/>
  <c r="M16" i="6"/>
  <c r="H16" i="6" a="1"/>
  <c r="H16" i="6" s="1"/>
  <c r="T16" i="5" s="1"/>
  <c r="G16" i="12" s="1" a="1"/>
  <c r="G16" i="12" s="1"/>
  <c r="G16" i="6"/>
  <c r="N16" i="6"/>
  <c r="AD16" i="5"/>
  <c r="E16" i="5"/>
  <c r="F16" i="6"/>
  <c r="AC56" i="5" a="1"/>
  <c r="AC56" i="5" s="1"/>
  <c r="B26" i="8" l="1"/>
  <c r="B14" i="11"/>
  <c r="L14" i="6"/>
  <c r="AE7" i="10" a="1"/>
  <c r="AE7" i="10" s="1"/>
  <c r="AE6" i="10" a="1"/>
  <c r="AE6" i="10" s="1"/>
  <c r="V7" i="10" a="1"/>
  <c r="V7" i="10" s="1"/>
  <c r="V6" i="10" a="1"/>
  <c r="V6" i="10" s="1"/>
  <c r="D63" i="12" a="1"/>
  <c r="D63"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B29" i="8"/>
  <c r="AF16" i="5" a="1"/>
  <c r="AF16" i="5" s="1"/>
  <c r="B14" i="6"/>
  <c r="O8" i="5"/>
  <c r="F11" i="5"/>
  <c r="AG16" i="5" l="1" a="1"/>
  <c r="AG16" i="5" s="1"/>
  <c r="S16" i="5" a="1"/>
  <c r="S16" i="5" s="1"/>
  <c r="B32" i="8"/>
  <c r="B35" i="8" s="1"/>
  <c r="F14" i="6"/>
  <c r="D14" i="6"/>
  <c r="C171" i="3"/>
  <c r="C170" i="3"/>
  <c r="C169" i="3"/>
  <c r="C166" i="3"/>
  <c r="C160" i="3"/>
  <c r="C159" i="3"/>
  <c r="F16" i="12" l="1" a="1"/>
  <c r="F16" i="12" s="1"/>
  <c r="G14" i="6"/>
  <c r="H14" i="6" a="1"/>
  <c r="H14" i="6" s="1"/>
  <c r="X9" i="5"/>
  <c r="W9" i="5"/>
  <c r="V9" i="5"/>
  <c r="U9" i="5"/>
  <c r="T9" i="5"/>
  <c r="L17" i="6" l="1"/>
  <c r="C17" i="5"/>
  <c r="C177" i="3"/>
  <c r="C175" i="3"/>
  <c r="A17" i="12" l="1"/>
  <c r="C18" i="5"/>
  <c r="H17" i="5"/>
  <c r="AE17" i="5" a="1"/>
  <c r="AE17" i="5" s="1"/>
  <c r="AD17" i="5"/>
  <c r="G17" i="5"/>
  <c r="E17" i="5"/>
  <c r="N17" i="5"/>
  <c r="D17" i="6" s="1"/>
  <c r="F17" i="5"/>
  <c r="B17" i="5"/>
  <c r="AF17" i="5" a="1"/>
  <c r="AF17" i="5" s="1"/>
  <c r="E17" i="12" s="1"/>
  <c r="L18" i="6"/>
  <c r="L19" i="6" s="1"/>
  <c r="B17" i="6"/>
  <c r="C157" i="3"/>
  <c r="C173" i="3"/>
  <c r="C167" i="3"/>
  <c r="C164" i="3"/>
  <c r="C163" i="3"/>
  <c r="C161" i="3"/>
  <c r="C19" i="5" l="1"/>
  <c r="AD19" i="5" s="1"/>
  <c r="A18" i="12"/>
  <c r="D18" i="5"/>
  <c r="B18" i="12" s="1"/>
  <c r="B18" i="5"/>
  <c r="K18" i="5"/>
  <c r="J18" i="5"/>
  <c r="AE18" i="5" a="1"/>
  <c r="AE18" i="5" s="1"/>
  <c r="H18" i="5"/>
  <c r="AD18" i="5"/>
  <c r="G18" i="5"/>
  <c r="F18" i="5"/>
  <c r="E18" i="5"/>
  <c r="N18" i="5"/>
  <c r="D18" i="6" s="1"/>
  <c r="F17" i="6"/>
  <c r="S17" i="5" a="1"/>
  <c r="S17" i="5" s="1"/>
  <c r="F17" i="12" s="1" a="1"/>
  <c r="F17" i="12" s="1"/>
  <c r="AG17" i="5" a="1"/>
  <c r="AG17" i="5" s="1"/>
  <c r="L20" i="6"/>
  <c r="L21" i="6" s="1"/>
  <c r="L22" i="6" s="1"/>
  <c r="B18" i="6"/>
  <c r="C153" i="3"/>
  <c r="C151" i="3"/>
  <c r="C20" i="5" l="1"/>
  <c r="G19" i="5"/>
  <c r="E19" i="5"/>
  <c r="H19" i="5"/>
  <c r="F19" i="5"/>
  <c r="J19" i="5"/>
  <c r="B19" i="5"/>
  <c r="A19" i="12"/>
  <c r="K19" i="5"/>
  <c r="B19" i="6"/>
  <c r="D19" i="5"/>
  <c r="B19" i="12" s="1"/>
  <c r="AE19" i="5" a="1"/>
  <c r="AE19" i="5" s="1"/>
  <c r="N19" i="5"/>
  <c r="D19" i="6" s="1"/>
  <c r="G17" i="6"/>
  <c r="L23" i="6"/>
  <c r="A12" i="6"/>
  <c r="AD20" i="5" l="1"/>
  <c r="AE20" i="5" a="1"/>
  <c r="AE20" i="5" s="1"/>
  <c r="J20" i="5"/>
  <c r="F20" i="5"/>
  <c r="A20" i="12"/>
  <c r="B20" i="5"/>
  <c r="C21" i="5" s="1"/>
  <c r="C22" i="5" s="1"/>
  <c r="D20" i="5"/>
  <c r="B20" i="12" s="1"/>
  <c r="E20" i="5"/>
  <c r="K20" i="5"/>
  <c r="H20" i="5"/>
  <c r="B20" i="6"/>
  <c r="N20" i="5"/>
  <c r="D20" i="6" s="1"/>
  <c r="G20" i="5"/>
  <c r="A16" i="6"/>
  <c r="L24" i="6"/>
  <c r="A14" i="6"/>
  <c r="A11" i="6"/>
  <c r="C147" i="3"/>
  <c r="C149" i="3"/>
  <c r="C145" i="3"/>
  <c r="C143" i="3"/>
  <c r="C141" i="3"/>
  <c r="U11" i="4"/>
  <c r="U10" i="4"/>
  <c r="Y26" i="4"/>
  <c r="Z26" i="4" s="1"/>
  <c r="Y106" i="4"/>
  <c r="Z106" i="4" s="1"/>
  <c r="Y66" i="4"/>
  <c r="Z66" i="4" s="1"/>
  <c r="R64" i="4"/>
  <c r="R63" i="4"/>
  <c r="R23" i="4"/>
  <c r="R24" i="4"/>
  <c r="C133" i="3"/>
  <c r="A22" i="12" l="1"/>
  <c r="AE22" i="5" a="1"/>
  <c r="AE22" i="5" s="1"/>
  <c r="D22" i="5"/>
  <c r="B22" i="12" s="1"/>
  <c r="AD22" i="5"/>
  <c r="K22" i="5"/>
  <c r="J22" i="5"/>
  <c r="N22" i="5"/>
  <c r="B22" i="6"/>
  <c r="AD21" i="5"/>
  <c r="G21" i="5"/>
  <c r="G22" i="5" s="1"/>
  <c r="AE21" i="5" a="1"/>
  <c r="AE21" i="5" s="1"/>
  <c r="H21" i="5"/>
  <c r="H22" i="5" s="1"/>
  <c r="F21" i="5"/>
  <c r="F22" i="5" s="1"/>
  <c r="B21" i="5"/>
  <c r="N21" i="5"/>
  <c r="E21" i="5"/>
  <c r="E22" i="5" s="1"/>
  <c r="A21" i="12"/>
  <c r="AF21" i="5" a="1"/>
  <c r="AF21" i="5" s="1"/>
  <c r="B21" i="6"/>
  <c r="A21" i="6" s="1"/>
  <c r="E23" i="12"/>
  <c r="F23" i="6"/>
  <c r="L25" i="6"/>
  <c r="X26" i="4"/>
  <c r="X106" i="4"/>
  <c r="X66" i="4"/>
  <c r="C137" i="3"/>
  <c r="C135" i="3"/>
  <c r="C132" i="3"/>
  <c r="B22" i="5" l="1"/>
  <c r="C23" i="5" s="1"/>
  <c r="D22" i="6"/>
  <c r="E21" i="12"/>
  <c r="F21" i="6"/>
  <c r="S21" i="5" a="1"/>
  <c r="S21" i="5" s="1"/>
  <c r="AG21" i="5" a="1"/>
  <c r="AG21" i="5" s="1"/>
  <c r="D21" i="6"/>
  <c r="L26"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3" i="6" l="1"/>
  <c r="N23" i="5"/>
  <c r="D23" i="6" s="1"/>
  <c r="G23" i="6" s="1"/>
  <c r="C24" i="5"/>
  <c r="A24" i="12" s="1"/>
  <c r="G23" i="5"/>
  <c r="AE23" i="5" a="1"/>
  <c r="AE23" i="5" s="1"/>
  <c r="F23" i="5"/>
  <c r="K21" i="5" s="1"/>
  <c r="E23" i="5"/>
  <c r="AF23" i="5" a="1"/>
  <c r="AF23" i="5" s="1"/>
  <c r="S23" i="5" s="1" a="1"/>
  <c r="S23" i="5" s="1"/>
  <c r="F23" i="12" s="1" a="1"/>
  <c r="F23" i="12" s="1"/>
  <c r="A23" i="12"/>
  <c r="AD23" i="5"/>
  <c r="H23" i="5"/>
  <c r="B23" i="5"/>
  <c r="N21" i="6"/>
  <c r="M21" i="6"/>
  <c r="G21" i="6"/>
  <c r="L27" i="6"/>
  <c r="L28" i="6" s="1"/>
  <c r="L29" i="6" s="1"/>
  <c r="J4" i="15"/>
  <c r="AB13" i="12" a="1"/>
  <c r="AB13" i="12" s="1"/>
  <c r="I27" i="10"/>
  <c r="B24" i="5" l="1"/>
  <c r="N24" i="5"/>
  <c r="D24" i="6" s="1"/>
  <c r="AG23" i="5" a="1"/>
  <c r="AG23" i="5" s="1"/>
  <c r="G24" i="5"/>
  <c r="AE24" i="5" a="1"/>
  <c r="AE24" i="5" s="1"/>
  <c r="C25" i="5"/>
  <c r="AE25" i="5" s="1" a="1"/>
  <c r="AE25" i="5" s="1"/>
  <c r="B24" i="6"/>
  <c r="F24" i="5"/>
  <c r="AD24" i="5"/>
  <c r="D24" i="5"/>
  <c r="B24" i="12" s="1"/>
  <c r="K24" i="5"/>
  <c r="E24" i="5"/>
  <c r="H24" i="5"/>
  <c r="J24" i="5"/>
  <c r="L30" i="6"/>
  <c r="AK14" i="13" a="1"/>
  <c r="AK14" i="13" s="1"/>
  <c r="AJ14" i="13" a="1"/>
  <c r="AJ14" i="13" s="1"/>
  <c r="AN14" i="13" a="1"/>
  <c r="AN14" i="13" s="1"/>
  <c r="AM14" i="13" a="1"/>
  <c r="AM14" i="13" s="1"/>
  <c r="AL14" i="13"/>
  <c r="AO14" i="13"/>
  <c r="G30" i="8" a="1"/>
  <c r="G30" i="8" s="1"/>
  <c r="G24" i="8" a="1"/>
  <c r="G24" i="8" s="1"/>
  <c r="G18" i="8" a="1"/>
  <c r="G18" i="8" s="1"/>
  <c r="G21" i="8" a="1"/>
  <c r="G21" i="8" s="1"/>
  <c r="G15" i="8" a="1"/>
  <c r="G15" i="8" s="1"/>
  <c r="G33" i="8" a="1"/>
  <c r="G33" i="8" s="1"/>
  <c r="G27" i="8" a="1"/>
  <c r="G27" i="8" s="1"/>
  <c r="P7" i="13"/>
  <c r="K14" i="13" a="1"/>
  <c r="K14" i="13" s="1"/>
  <c r="G22" i="15" a="1"/>
  <c r="G22" i="15" s="1"/>
  <c r="C22" i="15" a="1"/>
  <c r="C22" i="15" s="1"/>
  <c r="F10" i="12" a="1"/>
  <c r="F10" i="12" s="1"/>
  <c r="F8" i="7"/>
  <c r="M8" i="12" a="1"/>
  <c r="M8" i="12" s="1"/>
  <c r="H50" i="8" a="1"/>
  <c r="H50" i="8" s="1"/>
  <c r="H48" i="8" a="1"/>
  <c r="H48" i="8" s="1"/>
  <c r="F7" i="6" a="1"/>
  <c r="F7" i="6" s="1"/>
  <c r="F6" i="6" a="1"/>
  <c r="F6" i="6" s="1"/>
  <c r="Q1" i="6" a="1"/>
  <c r="Q1" i="6" s="1"/>
  <c r="O1" i="6" a="1"/>
  <c r="O1" i="6" s="1"/>
  <c r="C11" i="7" a="1"/>
  <c r="C11" i="7" s="1"/>
  <c r="C122" i="3"/>
  <c r="C120" i="3"/>
  <c r="C26" i="5" l="1"/>
  <c r="B26" i="6" s="1"/>
  <c r="D25" i="5"/>
  <c r="B25" i="12" s="1"/>
  <c r="B25" i="6"/>
  <c r="B25" i="5"/>
  <c r="K25" i="5"/>
  <c r="E25" i="5"/>
  <c r="J25" i="5"/>
  <c r="H25" i="5"/>
  <c r="F25" i="5"/>
  <c r="F26" i="5" s="1"/>
  <c r="G25" i="5"/>
  <c r="N25" i="5"/>
  <c r="D25" i="6" s="1"/>
  <c r="A25" i="12"/>
  <c r="AD25" i="5"/>
  <c r="L31" i="6"/>
  <c r="A17" i="6"/>
  <c r="C14" i="14" a="1"/>
  <c r="C14" i="14" s="1"/>
  <c r="B39" i="14" a="1"/>
  <c r="B39" i="14" s="1"/>
  <c r="B37" i="14" a="1"/>
  <c r="B37" i="14" s="1"/>
  <c r="E28" i="14" a="1"/>
  <c r="E28" i="14" s="1"/>
  <c r="R1" i="6" a="1"/>
  <c r="R1" i="6" s="1"/>
  <c r="S67" i="4"/>
  <c r="U67" i="4" s="1"/>
  <c r="S107" i="4"/>
  <c r="U107" i="4" s="1"/>
  <c r="S27" i="4"/>
  <c r="U27" i="4" s="1"/>
  <c r="C124" i="3"/>
  <c r="C27" i="5" l="1"/>
  <c r="C28" i="5" s="1"/>
  <c r="C29" i="5" s="1"/>
  <c r="A29" i="12" s="1"/>
  <c r="J26" i="5"/>
  <c r="K26" i="5"/>
  <c r="H26" i="5"/>
  <c r="B26" i="5"/>
  <c r="B27" i="5" s="1"/>
  <c r="AD26" i="5"/>
  <c r="D26" i="5"/>
  <c r="B26" i="12" s="1"/>
  <c r="A26" i="12"/>
  <c r="AE26" i="5" a="1"/>
  <c r="AE26" i="5" s="1"/>
  <c r="N26" i="5"/>
  <c r="D26" i="6" s="1"/>
  <c r="G26" i="5"/>
  <c r="E26" i="5"/>
  <c r="AD27" i="5"/>
  <c r="L32" i="6"/>
  <c r="S1" i="6" a="1"/>
  <c r="S1" i="6" s="1"/>
  <c r="H25" i="9"/>
  <c r="G27" i="5" l="1"/>
  <c r="G28" i="5" s="1"/>
  <c r="G29" i="5" s="1"/>
  <c r="AE27" i="5" a="1"/>
  <c r="AE27" i="5" s="1"/>
  <c r="B28" i="5"/>
  <c r="B29" i="5" s="1"/>
  <c r="D27" i="5"/>
  <c r="B27" i="12" s="1"/>
  <c r="F27" i="5"/>
  <c r="F28" i="5" s="1"/>
  <c r="N28" i="5"/>
  <c r="D28" i="6" s="1"/>
  <c r="D29" i="5"/>
  <c r="B29" i="12" s="1"/>
  <c r="AE28" i="5" a="1"/>
  <c r="AE28" i="5" s="1"/>
  <c r="F29" i="5"/>
  <c r="AE29" i="5" a="1"/>
  <c r="AE29" i="5" s="1"/>
  <c r="A28" i="12"/>
  <c r="J28" i="5"/>
  <c r="K28" i="5"/>
  <c r="A27" i="12"/>
  <c r="E27" i="5"/>
  <c r="E28" i="5" s="1"/>
  <c r="E29" i="5" s="1"/>
  <c r="H27" i="5"/>
  <c r="H28" i="5" s="1"/>
  <c r="AD29" i="5"/>
  <c r="B28" i="6"/>
  <c r="J29" i="5"/>
  <c r="K29" i="5"/>
  <c r="N27" i="5"/>
  <c r="D27" i="6" s="1"/>
  <c r="J27" i="5"/>
  <c r="D28" i="5"/>
  <c r="B28" i="12" s="1"/>
  <c r="C30" i="5"/>
  <c r="J30" i="5" s="1"/>
  <c r="AD28" i="5"/>
  <c r="K27" i="5"/>
  <c r="B27" i="6"/>
  <c r="H29" i="5"/>
  <c r="B29" i="6"/>
  <c r="N29" i="5"/>
  <c r="D29" i="6" s="1"/>
  <c r="L33" i="6"/>
  <c r="F33" i="6" s="1"/>
  <c r="E33" i="12"/>
  <c r="T1" i="6" a="1"/>
  <c r="T1" i="6" s="1"/>
  <c r="C94" i="3"/>
  <c r="C92" i="3"/>
  <c r="AE30" i="5" l="1" a="1"/>
  <c r="AE30" i="5" s="1"/>
  <c r="C31" i="5"/>
  <c r="A31" i="12" s="1"/>
  <c r="E30" i="5"/>
  <c r="B30" i="5"/>
  <c r="AD30" i="5"/>
  <c r="G30" i="5"/>
  <c r="G31" i="5" s="1"/>
  <c r="K30" i="5"/>
  <c r="D30" i="5"/>
  <c r="B30" i="12" s="1"/>
  <c r="A30" i="12"/>
  <c r="H30" i="5"/>
  <c r="H31" i="5" s="1"/>
  <c r="N30" i="5"/>
  <c r="D30" i="6" s="1"/>
  <c r="F30" i="5"/>
  <c r="F31" i="5" s="1"/>
  <c r="B30" i="6"/>
  <c r="B31" i="6"/>
  <c r="N31" i="5"/>
  <c r="D31" i="6" s="1"/>
  <c r="B31" i="5"/>
  <c r="J31" i="5"/>
  <c r="AE31" i="5" a="1"/>
  <c r="AE31" i="5" s="1"/>
  <c r="C32" i="5"/>
  <c r="B32" i="6" s="1"/>
  <c r="K31" i="5"/>
  <c r="D31" i="5"/>
  <c r="B31" i="12" s="1"/>
  <c r="AD31" i="5"/>
  <c r="E31" i="5"/>
  <c r="L34" i="6"/>
  <c r="A23" i="6"/>
  <c r="U1" i="6" a="1"/>
  <c r="U1" i="6" s="1"/>
  <c r="C98" i="3"/>
  <c r="B32" i="5" l="1"/>
  <c r="C33" i="5" s="1"/>
  <c r="AF33" i="5" s="1" a="1"/>
  <c r="AF33" i="5" s="1"/>
  <c r="S33" i="5" s="1" a="1"/>
  <c r="S33" i="5" s="1"/>
  <c r="F33" i="12" s="1" a="1"/>
  <c r="F33" i="12" s="1"/>
  <c r="AD32" i="5"/>
  <c r="AE32" i="5" a="1"/>
  <c r="AE32" i="5" s="1"/>
  <c r="F32" i="5"/>
  <c r="K32" i="5"/>
  <c r="A32" i="12"/>
  <c r="D32" i="5"/>
  <c r="B32" i="12" s="1"/>
  <c r="J32" i="5"/>
  <c r="E32" i="5"/>
  <c r="N32" i="5"/>
  <c r="D32" i="6" s="1"/>
  <c r="G32" i="5"/>
  <c r="H32" i="5"/>
  <c r="B33" i="6"/>
  <c r="L35" i="6"/>
  <c r="L36" i="6" s="1"/>
  <c r="V1" i="6" a="1"/>
  <c r="V1" i="6" s="1"/>
  <c r="C5" i="14"/>
  <c r="AG33" i="5" l="1" a="1"/>
  <c r="AG33" i="5" s="1"/>
  <c r="B33" i="5"/>
  <c r="E33" i="5"/>
  <c r="AE33" i="5" a="1"/>
  <c r="AE33" i="5" s="1"/>
  <c r="G33" i="5"/>
  <c r="A33" i="12"/>
  <c r="N33" i="5"/>
  <c r="D33" i="6" s="1"/>
  <c r="G33" i="6" s="1"/>
  <c r="H33" i="5"/>
  <c r="C34" i="5"/>
  <c r="B34" i="6" s="1"/>
  <c r="AD33" i="5"/>
  <c r="F33" i="5"/>
  <c r="L37" i="6"/>
  <c r="W1" i="6" a="1"/>
  <c r="W1" i="6" s="1"/>
  <c r="S12" i="11"/>
  <c r="H34" i="5" l="1"/>
  <c r="F34" i="5"/>
  <c r="K34" i="5"/>
  <c r="AD34" i="5"/>
  <c r="AE34" i="5" a="1"/>
  <c r="AE34" i="5" s="1"/>
  <c r="E34" i="5"/>
  <c r="G34" i="5"/>
  <c r="D34" i="5"/>
  <c r="B34" i="12" s="1"/>
  <c r="J34" i="5"/>
  <c r="N34" i="5"/>
  <c r="D34" i="6" s="1"/>
  <c r="B34" i="5"/>
  <c r="C35" i="5"/>
  <c r="C36" i="5" s="1"/>
  <c r="AE36" i="5" s="1" a="1"/>
  <c r="AE36" i="5" s="1"/>
  <c r="A34" i="12"/>
  <c r="L38" i="6"/>
  <c r="L39" i="6" s="1"/>
  <c r="X1" i="6" a="1"/>
  <c r="X1" i="6" s="1"/>
  <c r="C1" i="7" a="1"/>
  <c r="C1" i="7" s="1"/>
  <c r="A35" i="12" l="1"/>
  <c r="E35" i="5"/>
  <c r="E36" i="5" s="1"/>
  <c r="G35" i="5"/>
  <c r="G36" i="5" s="1"/>
  <c r="B36" i="6"/>
  <c r="N35" i="5"/>
  <c r="D35" i="6" s="1"/>
  <c r="B35" i="6"/>
  <c r="K35" i="5"/>
  <c r="H35" i="5"/>
  <c r="H36" i="5" s="1"/>
  <c r="AD35" i="5"/>
  <c r="F35" i="5"/>
  <c r="F36" i="5" s="1"/>
  <c r="J36" i="5"/>
  <c r="A36" i="12"/>
  <c r="AD36" i="5"/>
  <c r="C37" i="5"/>
  <c r="AD37" i="5" s="1"/>
  <c r="K36" i="5"/>
  <c r="D36" i="5"/>
  <c r="B36" i="12" s="1"/>
  <c r="D35" i="5"/>
  <c r="B35" i="12" s="1"/>
  <c r="B35" i="5"/>
  <c r="B36" i="5" s="1"/>
  <c r="B37" i="5" s="1"/>
  <c r="J35" i="5"/>
  <c r="AE35" i="5" a="1"/>
  <c r="AE35" i="5" s="1"/>
  <c r="N36" i="5"/>
  <c r="D36" i="6" s="1"/>
  <c r="J37" i="5"/>
  <c r="L40"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G37" i="5" l="1"/>
  <c r="A37" i="12"/>
  <c r="D37" i="5"/>
  <c r="B37" i="12" s="1"/>
  <c r="H37" i="5"/>
  <c r="E37" i="5"/>
  <c r="N37" i="5"/>
  <c r="D37" i="6" s="1"/>
  <c r="C38" i="5"/>
  <c r="C39" i="5" s="1"/>
  <c r="K39" i="5" s="1"/>
  <c r="K37" i="5"/>
  <c r="F37" i="5"/>
  <c r="AE37" i="5" a="1"/>
  <c r="AE37" i="5" s="1"/>
  <c r="B37" i="6"/>
  <c r="L41" i="6"/>
  <c r="A33" i="6"/>
  <c r="Z1" i="6" a="1"/>
  <c r="Z1" i="6" s="1"/>
  <c r="D27" i="2"/>
  <c r="D15" i="2"/>
  <c r="D35" i="2"/>
  <c r="D3" i="2"/>
  <c r="K38" i="5" l="1"/>
  <c r="A38" i="12"/>
  <c r="G38" i="5"/>
  <c r="G39" i="5" s="1"/>
  <c r="AE39" i="5" a="1"/>
  <c r="AE39" i="5" s="1"/>
  <c r="F38" i="5"/>
  <c r="F39" i="5" s="1"/>
  <c r="J38" i="5"/>
  <c r="H38" i="5"/>
  <c r="H39" i="5" s="1"/>
  <c r="B38" i="5"/>
  <c r="B39" i="5" s="1"/>
  <c r="D38" i="5"/>
  <c r="B38" i="12" s="1"/>
  <c r="AD39" i="5"/>
  <c r="AD38" i="5"/>
  <c r="C40" i="5"/>
  <c r="A40" i="12" s="1"/>
  <c r="A39" i="12"/>
  <c r="AE38" i="5" a="1"/>
  <c r="AE38" i="5" s="1"/>
  <c r="J39" i="5"/>
  <c r="B38" i="6"/>
  <c r="B39" i="6"/>
  <c r="N39" i="5"/>
  <c r="D39" i="6" s="1"/>
  <c r="E38" i="5"/>
  <c r="E39" i="5" s="1"/>
  <c r="N38" i="5"/>
  <c r="D38" i="6" s="1"/>
  <c r="D39" i="5"/>
  <c r="B39" i="12" s="1"/>
  <c r="L42" i="6"/>
  <c r="E44" i="12"/>
  <c r="H10" i="7"/>
  <c r="K40" i="5" l="1"/>
  <c r="G40" i="5"/>
  <c r="E40" i="5"/>
  <c r="D40" i="5"/>
  <c r="B40" i="12" s="1"/>
  <c r="N40" i="5"/>
  <c r="D40" i="6" s="1"/>
  <c r="AD40" i="5"/>
  <c r="H40" i="5"/>
  <c r="C41" i="5"/>
  <c r="N41" i="5" s="1"/>
  <c r="D41" i="6" s="1"/>
  <c r="F40" i="5"/>
  <c r="J40" i="5"/>
  <c r="AE40" i="5" a="1"/>
  <c r="AE40" i="5" s="1"/>
  <c r="B40" i="5"/>
  <c r="B40" i="6"/>
  <c r="L43" i="6"/>
  <c r="AG50" i="8"/>
  <c r="B41" i="6" l="1"/>
  <c r="AD41" i="5"/>
  <c r="G41" i="5"/>
  <c r="C42" i="5"/>
  <c r="A42" i="12" s="1"/>
  <c r="D41" i="5"/>
  <c r="B41" i="12" s="1"/>
  <c r="E41" i="5"/>
  <c r="H41" i="5"/>
  <c r="AE41" i="5" a="1"/>
  <c r="AE41" i="5" s="1"/>
  <c r="A41" i="12"/>
  <c r="K41" i="5"/>
  <c r="J41" i="5"/>
  <c r="B41" i="5"/>
  <c r="F41" i="5"/>
  <c r="L44" i="6"/>
  <c r="E49" i="12"/>
  <c r="C103" i="3"/>
  <c r="C100" i="3"/>
  <c r="C96" i="3"/>
  <c r="B42" i="6" l="1"/>
  <c r="K42" i="5"/>
  <c r="F42" i="5"/>
  <c r="AE42" i="5" a="1"/>
  <c r="AE42" i="5" s="1"/>
  <c r="J42" i="5"/>
  <c r="B42" i="5"/>
  <c r="E42" i="5"/>
  <c r="H42" i="5"/>
  <c r="D42" i="5"/>
  <c r="B42" i="12" s="1"/>
  <c r="AD42" i="5"/>
  <c r="C43" i="5"/>
  <c r="D43" i="5" s="1"/>
  <c r="B43" i="12" s="1"/>
  <c r="G42" i="5"/>
  <c r="N42" i="5"/>
  <c r="D42" i="6" s="1"/>
  <c r="F44" i="6"/>
  <c r="L45" i="6"/>
  <c r="C93" i="3"/>
  <c r="K43" i="5" l="1"/>
  <c r="AE43" i="5" a="1"/>
  <c r="AE43" i="5" s="1"/>
  <c r="E43" i="5"/>
  <c r="A43" i="12"/>
  <c r="N43" i="5"/>
  <c r="D43" i="6" s="1"/>
  <c r="F43" i="5"/>
  <c r="J43" i="5"/>
  <c r="B43" i="6"/>
  <c r="G43" i="5"/>
  <c r="AD43" i="5"/>
  <c r="B43" i="5"/>
  <c r="C44" i="5" s="1"/>
  <c r="A44" i="12" s="1"/>
  <c r="H43" i="5"/>
  <c r="L46" i="6"/>
  <c r="C112" i="3"/>
  <c r="C108" i="3"/>
  <c r="C70" i="3"/>
  <c r="L26" i="13"/>
  <c r="L25" i="13" s="1"/>
  <c r="C84" i="3"/>
  <c r="B44" i="5" l="1"/>
  <c r="C45" i="5" s="1"/>
  <c r="C46" i="5" s="1"/>
  <c r="AD46" i="5" s="1"/>
  <c r="E44" i="5"/>
  <c r="AE44" i="5" a="1"/>
  <c r="AE44" i="5" s="1"/>
  <c r="H44" i="5"/>
  <c r="G44" i="5"/>
  <c r="B44" i="6"/>
  <c r="A44" i="6" s="1"/>
  <c r="AD44" i="5"/>
  <c r="AF44" i="5" a="1"/>
  <c r="AF44" i="5" s="1"/>
  <c r="S44" i="5" s="1" a="1"/>
  <c r="S44" i="5" s="1"/>
  <c r="F44" i="12" s="1" a="1"/>
  <c r="F44" i="12" s="1"/>
  <c r="N44" i="5"/>
  <c r="D44" i="6" s="1"/>
  <c r="G44" i="6" s="1"/>
  <c r="F44" i="5"/>
  <c r="AD45" i="5"/>
  <c r="L47" i="6"/>
  <c r="C56" i="3"/>
  <c r="H45" i="5" l="1"/>
  <c r="B45" i="6"/>
  <c r="F45" i="5"/>
  <c r="F46" i="5" s="1"/>
  <c r="AG44" i="5" a="1"/>
  <c r="AG44" i="5" s="1"/>
  <c r="B45" i="5"/>
  <c r="B46" i="5" s="1"/>
  <c r="AE45" i="5" a="1"/>
  <c r="AE45" i="5" s="1"/>
  <c r="N45" i="5"/>
  <c r="D45" i="6" s="1"/>
  <c r="G45" i="5"/>
  <c r="G46" i="5" s="1"/>
  <c r="E45" i="5"/>
  <c r="A45" i="12"/>
  <c r="A46" i="12"/>
  <c r="B46" i="6"/>
  <c r="J46" i="5"/>
  <c r="N46" i="5"/>
  <c r="D46" i="6" s="1"/>
  <c r="C47" i="5"/>
  <c r="N47" i="5" s="1"/>
  <c r="D47" i="6" s="1"/>
  <c r="D46" i="5"/>
  <c r="B46" i="12" s="1"/>
  <c r="AE46" i="5" a="1"/>
  <c r="AE46" i="5" s="1"/>
  <c r="H46" i="5"/>
  <c r="E46" i="5"/>
  <c r="K46" i="5"/>
  <c r="L48" i="6"/>
  <c r="Q13" i="6"/>
  <c r="A1" i="7"/>
  <c r="V28" i="7" a="1"/>
  <c r="V28" i="7" s="1"/>
  <c r="Y5" i="7"/>
  <c r="X5" i="7"/>
  <c r="P5" i="7"/>
  <c r="C60" i="3"/>
  <c r="F5" i="7"/>
  <c r="B47" i="6" l="1"/>
  <c r="AE47" i="5" a="1"/>
  <c r="AE47" i="5" s="1"/>
  <c r="D47" i="5"/>
  <c r="B47" i="12" s="1"/>
  <c r="K47" i="5"/>
  <c r="J47" i="5"/>
  <c r="F47" i="5"/>
  <c r="B47" i="5"/>
  <c r="C48" i="5"/>
  <c r="AD47" i="5"/>
  <c r="H47" i="5"/>
  <c r="G47" i="5"/>
  <c r="A47" i="12"/>
  <c r="E47" i="5"/>
  <c r="L49" i="6"/>
  <c r="R13" i="6"/>
  <c r="S13" i="6" s="1"/>
  <c r="V29" i="7"/>
  <c r="V30" i="7"/>
  <c r="N5" i="7"/>
  <c r="O5" i="7"/>
  <c r="B48" i="5" l="1"/>
  <c r="C49" i="5" s="1"/>
  <c r="A49" i="12" s="1"/>
  <c r="F48" i="5"/>
  <c r="AE48" i="5" a="1"/>
  <c r="AE48" i="5" s="1"/>
  <c r="D48" i="5"/>
  <c r="B48" i="12" s="1"/>
  <c r="A48" i="12"/>
  <c r="N48" i="5"/>
  <c r="D48" i="6" s="1"/>
  <c r="K48" i="5"/>
  <c r="B48" i="6"/>
  <c r="E48" i="5"/>
  <c r="H48" i="5"/>
  <c r="G48" i="5"/>
  <c r="AD48" i="5"/>
  <c r="J48" i="5"/>
  <c r="L50" i="6"/>
  <c r="F49" i="6"/>
  <c r="T13" i="6"/>
  <c r="E10" i="7"/>
  <c r="C57" i="3"/>
  <c r="C82" i="3"/>
  <c r="C77" i="3"/>
  <c r="B36" i="9"/>
  <c r="D29" i="7"/>
  <c r="V35" i="9" a="1"/>
  <c r="V37" i="9" s="1"/>
  <c r="B33" i="9"/>
  <c r="J25" i="9"/>
  <c r="L25" i="9" s="1"/>
  <c r="N25" i="9" s="1"/>
  <c r="P25" i="9" s="1"/>
  <c r="R25" i="9" s="1"/>
  <c r="T25" i="9" s="1"/>
  <c r="V25" i="9" s="1"/>
  <c r="X25" i="9" s="1"/>
  <c r="Z25" i="9" s="1"/>
  <c r="AB25" i="9" s="1"/>
  <c r="AD25" i="9" s="1"/>
  <c r="M5" i="9"/>
  <c r="J5" i="9"/>
  <c r="G5" i="9"/>
  <c r="B5" i="9"/>
  <c r="G49" i="5" l="1"/>
  <c r="B49" i="6"/>
  <c r="H49" i="5"/>
  <c r="E49" i="5"/>
  <c r="C50" i="5"/>
  <c r="B50" i="6" s="1"/>
  <c r="N49" i="5"/>
  <c r="D49" i="6" s="1"/>
  <c r="G49" i="6" s="1"/>
  <c r="B49" i="5"/>
  <c r="F49" i="5"/>
  <c r="AF49" i="5" a="1"/>
  <c r="AF49" i="5" s="1"/>
  <c r="S49" i="5" s="1" a="1"/>
  <c r="S49" i="5" s="1"/>
  <c r="F49" i="12" s="1" a="1"/>
  <c r="F49" i="12" s="1"/>
  <c r="AD49" i="5"/>
  <c r="AE49" i="5" a="1"/>
  <c r="AE49" i="5" s="1"/>
  <c r="L51" i="6"/>
  <c r="A49" i="6"/>
  <c r="U13" i="6"/>
  <c r="V35" i="9"/>
  <c r="V36" i="9"/>
  <c r="L28" i="7" a="1"/>
  <c r="L30" i="7" s="1"/>
  <c r="D26" i="7"/>
  <c r="C5" i="7"/>
  <c r="C51" i="5" l="1"/>
  <c r="K51" i="5" s="1"/>
  <c r="AG49" i="5" a="1"/>
  <c r="AG49" i="5" s="1"/>
  <c r="J50" i="5"/>
  <c r="N50" i="5"/>
  <c r="D50" i="6" s="1"/>
  <c r="H50" i="5"/>
  <c r="AD50" i="5"/>
  <c r="G50" i="5"/>
  <c r="A50" i="12"/>
  <c r="F50" i="5"/>
  <c r="AE50" i="5" a="1"/>
  <c r="AE50" i="5" s="1"/>
  <c r="D50" i="5"/>
  <c r="B50" i="12" s="1"/>
  <c r="E50" i="5"/>
  <c r="K50" i="5"/>
  <c r="B50" i="5"/>
  <c r="L52" i="6"/>
  <c r="V13" i="6"/>
  <c r="L28" i="7"/>
  <c r="L29" i="7"/>
  <c r="C69" i="3"/>
  <c r="C86" i="3"/>
  <c r="C81" i="3"/>
  <c r="C80" i="3"/>
  <c r="C79" i="3"/>
  <c r="C76" i="3"/>
  <c r="C75" i="3"/>
  <c r="C74" i="3"/>
  <c r="C67" i="3"/>
  <c r="C65" i="3"/>
  <c r="C64" i="3"/>
  <c r="C61" i="3"/>
  <c r="C62" i="3"/>
  <c r="C59" i="3"/>
  <c r="C58" i="3"/>
  <c r="C72" i="3"/>
  <c r="S108" i="4" a="1"/>
  <c r="S108" i="4" s="1"/>
  <c r="S68" i="4" a="1"/>
  <c r="S68" i="4" s="1"/>
  <c r="S28" i="4" a="1"/>
  <c r="S28" i="4" s="1"/>
  <c r="AE51" i="5" l="1" a="1"/>
  <c r="AE51" i="5" s="1"/>
  <c r="F51" i="5"/>
  <c r="D51" i="5"/>
  <c r="B51" i="12" s="1"/>
  <c r="C52" i="5"/>
  <c r="B51" i="5"/>
  <c r="H51" i="5"/>
  <c r="B51" i="6"/>
  <c r="J51" i="5"/>
  <c r="A51" i="12"/>
  <c r="E51" i="5"/>
  <c r="N51" i="5"/>
  <c r="D51" i="6" s="1"/>
  <c r="AD51" i="5"/>
  <c r="G51" i="5"/>
  <c r="L53"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27" i="11"/>
  <c r="I26" i="11"/>
  <c r="AA53" i="8" a="1"/>
  <c r="T62" i="6" a="1"/>
  <c r="T64" i="6" s="1"/>
  <c r="I62" i="6" a="1"/>
  <c r="I63" i="6" s="1"/>
  <c r="C2" i="4"/>
  <c r="Z7" i="11"/>
  <c r="V12" i="8"/>
  <c r="E12" i="8"/>
  <c r="C14" i="5"/>
  <c r="AF14" i="5" s="1" a="1"/>
  <c r="AF14" i="5" s="1"/>
  <c r="AV15" i="6"/>
  <c r="AU15" i="6"/>
  <c r="AT15" i="6"/>
  <c r="AS15" i="6"/>
  <c r="AR15" i="6"/>
  <c r="AQ15" i="6"/>
  <c r="AP15" i="6"/>
  <c r="AO15" i="6"/>
  <c r="AN15" i="6"/>
  <c r="AM15" i="6"/>
  <c r="D12" i="11"/>
  <c r="A12" i="11" s="1"/>
  <c r="L30" i="13"/>
  <c r="C8" i="4"/>
  <c r="C9" i="4"/>
  <c r="C10" i="4"/>
  <c r="C11" i="4"/>
  <c r="C12" i="4"/>
  <c r="C13" i="4"/>
  <c r="L37"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65" i="12"/>
  <c r="E66" i="12"/>
  <c r="K68" i="12" a="1"/>
  <c r="K70" i="12" s="1"/>
  <c r="E10" i="6"/>
  <c r="I10" i="6"/>
  <c r="K10" i="6"/>
  <c r="S10" i="6"/>
  <c r="U10" i="6"/>
  <c r="O13" i="6"/>
  <c r="O15" i="6" s="1"/>
  <c r="O11" i="6" s="1"/>
  <c r="B15" i="6"/>
  <c r="C15" i="6"/>
  <c r="E15" i="6"/>
  <c r="B56" i="6"/>
  <c r="C56" i="6"/>
  <c r="F60" i="6"/>
  <c r="S5" i="8"/>
  <c r="I8" i="8"/>
  <c r="L8" i="8"/>
  <c r="U8" i="8"/>
  <c r="E13" i="8"/>
  <c r="V13" i="8"/>
  <c r="W13" i="8" s="1"/>
  <c r="X13" i="8" s="1"/>
  <c r="Y13" i="8" s="1"/>
  <c r="Z13" i="8" s="1"/>
  <c r="AA13" i="8" s="1"/>
  <c r="AB13" i="8" s="1"/>
  <c r="AC13" i="8" s="1"/>
  <c r="AD13" i="8" s="1"/>
  <c r="AE13" i="8" s="1"/>
  <c r="AF13" i="8" s="1"/>
  <c r="T40" i="8"/>
  <c r="T45" i="8"/>
  <c r="I51"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66" i="5"/>
  <c r="O15" i="5"/>
  <c r="O69" i="5"/>
  <c r="T71" i="5" a="1"/>
  <c r="T71" i="5" s="1"/>
  <c r="B1" i="10"/>
  <c r="H4" i="10"/>
  <c r="B7" i="10"/>
  <c r="H7" i="10"/>
  <c r="O7" i="10"/>
  <c r="F12" i="10"/>
  <c r="F11" i="10" s="1" a="1"/>
  <c r="F11" i="10" s="1"/>
  <c r="B35" i="10"/>
  <c r="W37" i="10" a="1"/>
  <c r="W38" i="10" s="1"/>
  <c r="D4" i="11"/>
  <c r="G4" i="11"/>
  <c r="J4" i="11"/>
  <c r="M6" i="11"/>
  <c r="D7" i="11"/>
  <c r="L7" i="11"/>
  <c r="M7" i="11"/>
  <c r="N7" i="11"/>
  <c r="J12" i="11"/>
  <c r="I12" i="13" s="1"/>
  <c r="L13" i="11"/>
  <c r="L9" i="11" s="1"/>
  <c r="D24" i="11"/>
  <c r="F1" i="13"/>
  <c r="E4" i="13"/>
  <c r="I4" i="13"/>
  <c r="P4" i="13"/>
  <c r="M6" i="13"/>
  <c r="E7" i="13"/>
  <c r="I7" i="13"/>
  <c r="M7" i="13"/>
  <c r="N7" i="13"/>
  <c r="M11" i="13"/>
  <c r="Y11" i="13"/>
  <c r="G12" i="13"/>
  <c r="H12" i="13"/>
  <c r="J16" i="13"/>
  <c r="AC2" i="13" s="1"/>
  <c r="E26" i="13"/>
  <c r="E30" i="13"/>
  <c r="F31" i="13"/>
  <c r="M31" i="13"/>
  <c r="E32" i="13"/>
  <c r="F32" i="13"/>
  <c r="L32" i="13"/>
  <c r="M32" i="13"/>
  <c r="M33" i="13"/>
  <c r="L34" i="13"/>
  <c r="M34" i="13"/>
  <c r="E37" i="13"/>
  <c r="E39" i="13"/>
  <c r="L39" i="13"/>
  <c r="E40" i="13"/>
  <c r="L40" i="13"/>
  <c r="E52" i="5" l="1"/>
  <c r="H52" i="5"/>
  <c r="C53" i="5"/>
  <c r="N53" i="5" s="1"/>
  <c r="D53" i="6" s="1"/>
  <c r="G52" i="5"/>
  <c r="F52" i="5"/>
  <c r="AD52" i="5"/>
  <c r="J52" i="5"/>
  <c r="B52" i="6"/>
  <c r="D52" i="5"/>
  <c r="B52" i="12" s="1"/>
  <c r="K52" i="5"/>
  <c r="AE52" i="5" a="1"/>
  <c r="AE52" i="5" s="1"/>
  <c r="N52" i="5"/>
  <c r="D52" i="6" s="1"/>
  <c r="A52" i="12"/>
  <c r="B52" i="5"/>
  <c r="J53" i="5"/>
  <c r="J14" i="11"/>
  <c r="I14" i="13" s="1"/>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27" i="10"/>
  <c r="K32" i="10" s="1"/>
  <c r="W40" i="10"/>
  <c r="E12" i="13"/>
  <c r="C47" i="4"/>
  <c r="C23" i="4"/>
  <c r="A30" i="4"/>
  <c r="A31" i="4" s="1"/>
  <c r="C31" i="4" s="1"/>
  <c r="C46" i="4"/>
  <c r="C28" i="4"/>
  <c r="K71" i="12"/>
  <c r="C21" i="4"/>
  <c r="C22" i="4"/>
  <c r="K132" i="4"/>
  <c r="W39" i="10"/>
  <c r="K68" i="12"/>
  <c r="T73" i="5"/>
  <c r="O7" i="13"/>
  <c r="T63" i="6"/>
  <c r="P125" i="4"/>
  <c r="I54" i="8"/>
  <c r="I64" i="6"/>
  <c r="I62" i="6"/>
  <c r="AC13" i="6"/>
  <c r="AC12" i="6" s="1"/>
  <c r="AN13" i="6"/>
  <c r="B14" i="5"/>
  <c r="F14" i="5"/>
  <c r="G15" i="9"/>
  <c r="H15" i="10"/>
  <c r="S110" i="4"/>
  <c r="I12" i="10"/>
  <c r="I11" i="10" s="1" a="1"/>
  <c r="I11" i="10" s="1"/>
  <c r="H12" i="9"/>
  <c r="S30" i="4"/>
  <c r="A36" i="4"/>
  <c r="C35" i="4"/>
  <c r="C24" i="4"/>
  <c r="AA54" i="8"/>
  <c r="AA55" i="8"/>
  <c r="AA53" i="8"/>
  <c r="P45" i="4"/>
  <c r="K14" i="5"/>
  <c r="J14" i="5"/>
  <c r="H14" i="5"/>
  <c r="A14" i="12"/>
  <c r="D14" i="5"/>
  <c r="B14" i="12" s="1"/>
  <c r="AD14" i="5"/>
  <c r="E14" i="5"/>
  <c r="G14" i="5"/>
  <c r="N14" i="5"/>
  <c r="E69" i="12"/>
  <c r="B38" i="10"/>
  <c r="F63" i="6"/>
  <c r="O72" i="5"/>
  <c r="D27" i="11"/>
  <c r="W37" i="10"/>
  <c r="A4" i="4"/>
  <c r="K51" i="4"/>
  <c r="K69" i="12"/>
  <c r="S70" i="4"/>
  <c r="K91" i="4"/>
  <c r="T62" i="6"/>
  <c r="K90" i="4"/>
  <c r="T72" i="5"/>
  <c r="AM21" i="6" l="1"/>
  <c r="BD21" i="6" a="1"/>
  <c r="BD21" i="6" s="1"/>
  <c r="BB21" i="6" a="1"/>
  <c r="BB21" i="6" s="1"/>
  <c r="AZ21" i="6" a="1"/>
  <c r="AZ21" i="6" s="1"/>
  <c r="AT21" i="6"/>
  <c r="AX21" i="6" a="1"/>
  <c r="AX21" i="6" s="1"/>
  <c r="AS21" i="6"/>
  <c r="AP21" i="6"/>
  <c r="AO21" i="6"/>
  <c r="BF21" i="6" a="1"/>
  <c r="BF21" i="6" s="1"/>
  <c r="AR21" i="6"/>
  <c r="AU21" i="6"/>
  <c r="AN21" i="6"/>
  <c r="AQ21" i="6"/>
  <c r="BE21" i="6" a="1"/>
  <c r="BE21" i="6" s="1"/>
  <c r="BC21" i="6" a="1"/>
  <c r="BC21" i="6" s="1"/>
  <c r="AY21" i="6" a="1"/>
  <c r="AY21" i="6" s="1"/>
  <c r="AV21" i="6"/>
  <c r="BG21" i="6" a="1"/>
  <c r="BG21" i="6" s="1"/>
  <c r="BA21" i="6" a="1"/>
  <c r="BA21" i="6" s="1"/>
  <c r="K53" i="5"/>
  <c r="A53" i="12"/>
  <c r="D53" i="5"/>
  <c r="B53" i="12" s="1"/>
  <c r="AE53" i="5" a="1"/>
  <c r="AE53" i="5" s="1"/>
  <c r="E53" i="5"/>
  <c r="H53" i="5"/>
  <c r="F53" i="5"/>
  <c r="G53" i="5"/>
  <c r="B53" i="6"/>
  <c r="AD53" i="5"/>
  <c r="B53" i="5"/>
  <c r="AB16" i="6"/>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27" i="10"/>
  <c r="M32" i="10" s="1"/>
  <c r="I12" i="9"/>
  <c r="U17" i="4"/>
  <c r="U14" i="4" s="1"/>
  <c r="T21" i="4" s="1"/>
  <c r="H5" i="5"/>
  <c r="X8" i="5" s="1" a="1"/>
  <c r="X8" i="5" s="1"/>
  <c r="F5" i="5"/>
  <c r="AH22"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N22" i="5" l="1" a="1"/>
  <c r="AN22" i="5" s="1"/>
  <c r="W22" i="5" a="1"/>
  <c r="W22" i="5" s="1"/>
  <c r="AH36" i="5"/>
  <c r="AN36" i="5" s="1" a="1"/>
  <c r="AN36" i="5" s="1"/>
  <c r="AH21" i="5"/>
  <c r="AH40" i="5"/>
  <c r="AH43" i="5"/>
  <c r="AH39" i="5"/>
  <c r="AH41" i="5"/>
  <c r="AH42" i="5"/>
  <c r="AH31" i="5"/>
  <c r="AH32" i="5"/>
  <c r="AH30" i="5"/>
  <c r="AH29" i="5"/>
  <c r="AH19" i="5"/>
  <c r="AN19" i="5" s="1" a="1"/>
  <c r="AN19" i="5" s="1"/>
  <c r="AH28" i="5"/>
  <c r="AD16" i="6"/>
  <c r="AH55" i="5"/>
  <c r="AN55" i="5" s="1" a="1"/>
  <c r="AN55" i="5" s="1"/>
  <c r="AH37" i="5"/>
  <c r="AH26" i="5"/>
  <c r="AH49" i="5"/>
  <c r="AH44" i="5"/>
  <c r="AH18" i="5"/>
  <c r="AH51" i="5"/>
  <c r="AH33" i="5"/>
  <c r="AH46" i="5"/>
  <c r="AH23" i="5"/>
  <c r="AH53" i="5"/>
  <c r="AH35" i="5"/>
  <c r="AH48" i="5"/>
  <c r="AH25" i="5"/>
  <c r="AH16" i="5"/>
  <c r="AN16" i="5" s="1" a="1"/>
  <c r="AN16" i="5" s="1"/>
  <c r="AH45" i="5"/>
  <c r="AH54" i="5"/>
  <c r="AN54" i="5" s="1" a="1"/>
  <c r="AN54" i="5" s="1"/>
  <c r="AH52" i="5"/>
  <c r="AH34" i="5"/>
  <c r="AH47" i="5"/>
  <c r="AH20" i="5"/>
  <c r="AH38" i="5"/>
  <c r="AH17" i="5"/>
  <c r="AH24" i="5"/>
  <c r="AH50" i="5"/>
  <c r="AH27" i="5"/>
  <c r="AZ12" i="6"/>
  <c r="AO12" i="6"/>
  <c r="U94" i="4"/>
  <c r="T101" i="4" s="1"/>
  <c r="U54" i="4"/>
  <c r="T61" i="4" s="1"/>
  <c r="B15" i="9"/>
  <c r="T57" i="4"/>
  <c r="T97" i="4"/>
  <c r="T22" i="4"/>
  <c r="T23" i="4"/>
  <c r="T24" i="4"/>
  <c r="T25" i="4"/>
  <c r="T26" i="4"/>
  <c r="U26" i="4" s="1"/>
  <c r="T17" i="4"/>
  <c r="V8" i="5" a="1"/>
  <c r="V8" i="5" s="1"/>
  <c r="O27" i="10"/>
  <c r="O32" i="10" s="1"/>
  <c r="J12" i="9"/>
  <c r="AH14" i="5"/>
  <c r="W14" i="5" s="1" a="1"/>
  <c r="W14" i="5" s="1"/>
  <c r="BA13" i="6"/>
  <c r="A18" i="4"/>
  <c r="C17" i="4"/>
  <c r="Y12" i="8"/>
  <c r="AE13" i="12"/>
  <c r="Z13" i="6"/>
  <c r="AE13" i="6"/>
  <c r="AP13" i="6"/>
  <c r="K12" i="10"/>
  <c r="K11" i="10" s="1" a="1"/>
  <c r="K11" i="10" s="1"/>
  <c r="C5" i="4"/>
  <c r="A6" i="4"/>
  <c r="W36" i="5" l="1" a="1"/>
  <c r="W36" i="5" s="1"/>
  <c r="AN21" i="5" a="1"/>
  <c r="AN21" i="5" s="1"/>
  <c r="W21" i="5" a="1"/>
  <c r="W21" i="5" s="1"/>
  <c r="AN43" i="5" a="1"/>
  <c r="AN43" i="5" s="1"/>
  <c r="W43" i="5" a="1"/>
  <c r="W43" i="5" s="1"/>
  <c r="AN42" i="5" a="1"/>
  <c r="AN42" i="5" s="1"/>
  <c r="W42" i="5" a="1"/>
  <c r="W42" i="5" s="1"/>
  <c r="AN40" i="5" a="1"/>
  <c r="AN40" i="5" s="1"/>
  <c r="W40" i="5" a="1"/>
  <c r="W40" i="5" s="1"/>
  <c r="AN41" i="5" a="1"/>
  <c r="AN41" i="5" s="1"/>
  <c r="W41" i="5" a="1"/>
  <c r="W41" i="5" s="1"/>
  <c r="AN39" i="5" a="1"/>
  <c r="AN39" i="5" s="1"/>
  <c r="W39" i="5" a="1"/>
  <c r="W39" i="5" s="1"/>
  <c r="AN29" i="5" a="1"/>
  <c r="AN29" i="5" s="1"/>
  <c r="W29" i="5" a="1"/>
  <c r="W29" i="5" s="1"/>
  <c r="AN32" i="5" a="1"/>
  <c r="AN32" i="5" s="1"/>
  <c r="W32" i="5" a="1"/>
  <c r="W32" i="5" s="1"/>
  <c r="AN30" i="5" a="1"/>
  <c r="AN30" i="5" s="1"/>
  <c r="W30" i="5" a="1"/>
  <c r="W30" i="5" s="1"/>
  <c r="AN31" i="5" a="1"/>
  <c r="AN31" i="5" s="1"/>
  <c r="W31" i="5" a="1"/>
  <c r="W31" i="5" s="1"/>
  <c r="W19" i="5" a="1"/>
  <c r="W19" i="5" s="1"/>
  <c r="AN28" i="5" a="1"/>
  <c r="AN28" i="5" s="1"/>
  <c r="W28" i="5" a="1"/>
  <c r="W28" i="5" s="1"/>
  <c r="M17" i="6"/>
  <c r="AP17" i="6" s="1"/>
  <c r="AN38" i="5" a="1"/>
  <c r="AN38" i="5" s="1"/>
  <c r="W38" i="5" a="1"/>
  <c r="W38" i="5" s="1"/>
  <c r="H38" i="12" s="1" a="1"/>
  <c r="H38" i="12" s="1"/>
  <c r="AN23" i="5" a="1"/>
  <c r="AN23" i="5" s="1"/>
  <c r="W23" i="5" a="1"/>
  <c r="W23" i="5" s="1"/>
  <c r="H23" i="12" s="1" a="1"/>
  <c r="H23" i="12" s="1"/>
  <c r="AN27" i="5" a="1"/>
  <c r="AN27" i="5" s="1"/>
  <c r="W27" i="5" a="1"/>
  <c r="W27" i="5" s="1"/>
  <c r="H27" i="12" s="1" a="1"/>
  <c r="H27" i="12" s="1"/>
  <c r="AN35" i="5" a="1"/>
  <c r="AN35" i="5" s="1"/>
  <c r="W35" i="5" a="1"/>
  <c r="W35" i="5" s="1"/>
  <c r="H35" i="12" s="1" a="1"/>
  <c r="H35" i="12" s="1"/>
  <c r="AN46" i="5" a="1"/>
  <c r="AN46" i="5" s="1"/>
  <c r="W46" i="5" a="1"/>
  <c r="W46" i="5" s="1"/>
  <c r="H46" i="12" s="1" a="1"/>
  <c r="H46" i="12" s="1"/>
  <c r="AN18" i="5" a="1"/>
  <c r="AN18" i="5" s="1"/>
  <c r="W18" i="5" a="1"/>
  <c r="W18" i="5" s="1"/>
  <c r="H18" i="12" s="1" a="1"/>
  <c r="H18" i="12" s="1"/>
  <c r="AN50" i="5" a="1"/>
  <c r="AN50" i="5" s="1"/>
  <c r="W50" i="5" a="1"/>
  <c r="W50" i="5" s="1"/>
  <c r="H50" i="12" s="1" a="1"/>
  <c r="H50" i="12" s="1"/>
  <c r="AN53" i="5" a="1"/>
  <c r="AN53" i="5" s="1"/>
  <c r="W53" i="5" a="1"/>
  <c r="W53" i="5" s="1"/>
  <c r="H53" i="12" s="1" a="1"/>
  <c r="H53" i="12" s="1"/>
  <c r="AN44" i="5" a="1"/>
  <c r="AN44" i="5" s="1"/>
  <c r="W44" i="5" a="1"/>
  <c r="W44" i="5" s="1"/>
  <c r="H44" i="12" s="1" a="1"/>
  <c r="H44" i="12" s="1"/>
  <c r="AN37" i="5" a="1"/>
  <c r="AN37" i="5" s="1"/>
  <c r="W37" i="5" a="1"/>
  <c r="W37" i="5" s="1"/>
  <c r="H37" i="12" s="1" a="1"/>
  <c r="H37" i="12" s="1"/>
  <c r="AN24" i="5" a="1"/>
  <c r="AN24" i="5" s="1"/>
  <c r="W24" i="5" a="1"/>
  <c r="W24" i="5" s="1"/>
  <c r="H24" i="12" s="1" a="1"/>
  <c r="H24" i="12" s="1"/>
  <c r="AN26" i="5" a="1"/>
  <c r="AN26" i="5" s="1"/>
  <c r="W26" i="5" a="1"/>
  <c r="W26" i="5" s="1"/>
  <c r="H26" i="12" s="1" a="1"/>
  <c r="H26" i="12" s="1"/>
  <c r="AN20" i="5" a="1"/>
  <c r="AN20" i="5" s="1"/>
  <c r="W20" i="5" a="1"/>
  <c r="W20" i="5" s="1"/>
  <c r="H20" i="12" s="1" a="1"/>
  <c r="H20" i="12" s="1"/>
  <c r="AN17" i="5" a="1"/>
  <c r="AN17" i="5" s="1"/>
  <c r="W17" i="5" a="1"/>
  <c r="W17" i="5" s="1"/>
  <c r="H17" i="12" s="1" a="1"/>
  <c r="H17" i="12" s="1"/>
  <c r="AN34" i="5" a="1"/>
  <c r="AN34" i="5" s="1"/>
  <c r="W34" i="5" a="1"/>
  <c r="W34" i="5" s="1"/>
  <c r="H34" i="12" s="1" a="1"/>
  <c r="H34" i="12" s="1"/>
  <c r="AN33" i="5" a="1"/>
  <c r="AN33" i="5" s="1"/>
  <c r="W33" i="5" a="1"/>
  <c r="W33" i="5" s="1"/>
  <c r="H33" i="12" s="1" a="1"/>
  <c r="H33" i="12" s="1"/>
  <c r="AN48" i="5" a="1"/>
  <c r="AN48" i="5" s="1"/>
  <c r="W48" i="5" a="1"/>
  <c r="W48" i="5" s="1"/>
  <c r="H48" i="12" s="1" a="1"/>
  <c r="H48" i="12" s="1"/>
  <c r="AN51" i="5" a="1"/>
  <c r="AN51" i="5" s="1"/>
  <c r="W51" i="5" a="1"/>
  <c r="W51" i="5" s="1"/>
  <c r="H51" i="12" s="1" a="1"/>
  <c r="H51" i="12" s="1"/>
  <c r="AN49" i="5" a="1"/>
  <c r="AN49" i="5" s="1"/>
  <c r="W49" i="5" a="1"/>
  <c r="W49" i="5" s="1"/>
  <c r="H49" i="12" s="1" a="1"/>
  <c r="H49" i="12" s="1"/>
  <c r="AN52" i="5" a="1"/>
  <c r="AN52" i="5" s="1"/>
  <c r="W52" i="5" a="1"/>
  <c r="W52" i="5" s="1"/>
  <c r="H52" i="12" s="1" a="1"/>
  <c r="H52" i="12" s="1"/>
  <c r="AN47" i="5" a="1"/>
  <c r="AN47" i="5" s="1"/>
  <c r="W47" i="5" a="1"/>
  <c r="W47" i="5" s="1"/>
  <c r="H47" i="12" s="1" a="1"/>
  <c r="H47" i="12" s="1"/>
  <c r="AN25" i="5" a="1"/>
  <c r="AN25" i="5" s="1"/>
  <c r="W25" i="5" a="1"/>
  <c r="W25" i="5" s="1"/>
  <c r="H25" i="12" s="1" a="1"/>
  <c r="H25" i="12" s="1"/>
  <c r="AN45" i="5" a="1"/>
  <c r="AN45" i="5" s="1"/>
  <c r="W45" i="5" a="1"/>
  <c r="W45" i="5" s="1"/>
  <c r="H45" i="12" s="1" a="1"/>
  <c r="H45" i="12" s="1"/>
  <c r="BA12" i="6"/>
  <c r="AP12" i="6"/>
  <c r="H14" i="12" a="1"/>
  <c r="H14" i="12" s="1"/>
  <c r="AN14" i="5" a="1"/>
  <c r="AN14" i="5" s="1"/>
  <c r="T62" i="4"/>
  <c r="T63" i="4"/>
  <c r="T64" i="4"/>
  <c r="T66" i="4"/>
  <c r="U66" i="4" s="1"/>
  <c r="T65" i="4"/>
  <c r="T102" i="4"/>
  <c r="T104" i="4"/>
  <c r="T103" i="4"/>
  <c r="T106" i="4"/>
  <c r="U106" i="4" s="1"/>
  <c r="T105" i="4"/>
  <c r="U7" i="4"/>
  <c r="H26" i="10"/>
  <c r="Q27" i="10"/>
  <c r="Q32" i="10" s="1"/>
  <c r="K12" i="9"/>
  <c r="BB13" i="6"/>
  <c r="AF13" i="6"/>
  <c r="AF12" i="6" s="1"/>
  <c r="AE12" i="6"/>
  <c r="A19" i="4"/>
  <c r="C19" i="4" s="1"/>
  <c r="C18" i="4"/>
  <c r="Z12" i="8"/>
  <c r="AF13" i="12"/>
  <c r="AQ13" i="6"/>
  <c r="L12" i="10"/>
  <c r="L11" i="10" s="1" a="1"/>
  <c r="L11" i="10" s="1"/>
  <c r="A7" i="4"/>
  <c r="C7" i="4" s="1"/>
  <c r="C6" i="4"/>
  <c r="BB17" i="6" l="1" a="1"/>
  <c r="BB17" i="6" s="1"/>
  <c r="BA17" i="6" a="1"/>
  <c r="BA17" i="6" s="1"/>
  <c r="AN17" i="6"/>
  <c r="AZ17" i="6" a="1"/>
  <c r="AZ17" i="6" s="1"/>
  <c r="AO17" i="6"/>
  <c r="AX17" i="6" a="1"/>
  <c r="AX17" i="6" s="1"/>
  <c r="AY17" i="6" a="1"/>
  <c r="AY17" i="6" s="1"/>
  <c r="AM17" i="6"/>
  <c r="B16" i="9"/>
  <c r="B17" i="9" s="1"/>
  <c r="AQ17" i="6"/>
  <c r="AF16" i="6"/>
  <c r="AE16" i="6"/>
  <c r="X29" i="4"/>
  <c r="S27" i="10"/>
  <c r="S32"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23" i="6" l="1"/>
  <c r="BC23" i="6" s="1" a="1"/>
  <c r="BC23" i="6" s="1"/>
  <c r="AR17" i="6"/>
  <c r="BC17" i="6" a="1"/>
  <c r="BC17" i="6" s="1"/>
  <c r="AG16" i="6"/>
  <c r="B18" i="9"/>
  <c r="U29" i="4"/>
  <c r="U69" i="4"/>
  <c r="U65" i="4"/>
  <c r="U103" i="4"/>
  <c r="U61" i="4"/>
  <c r="U105" i="4"/>
  <c r="U64" i="4"/>
  <c r="U102" i="4"/>
  <c r="U62" i="4"/>
  <c r="U21" i="4"/>
  <c r="U23" i="4"/>
  <c r="U104" i="4"/>
  <c r="U101" i="4"/>
  <c r="U24" i="4"/>
  <c r="U25" i="4"/>
  <c r="U22" i="4"/>
  <c r="U63" i="4"/>
  <c r="U109" i="4"/>
  <c r="K112" i="4" s="1"/>
  <c r="U27" i="10"/>
  <c r="U32" i="10" s="1"/>
  <c r="M12" i="9"/>
  <c r="BC12" i="6"/>
  <c r="AR12" i="6"/>
  <c r="AH13" i="6"/>
  <c r="AH12" i="6" s="1"/>
  <c r="BD13" i="6"/>
  <c r="AB12" i="8"/>
  <c r="AH13" i="12"/>
  <c r="AS13" i="6"/>
  <c r="N12" i="10"/>
  <c r="N11" i="10" s="1" a="1"/>
  <c r="N11" i="10" s="1"/>
  <c r="M33" i="6" l="1"/>
  <c r="AR33" i="6" s="1"/>
  <c r="AN23" i="6"/>
  <c r="AZ23" i="6" a="1"/>
  <c r="AZ23" i="6" s="1"/>
  <c r="AO23" i="6"/>
  <c r="AX23" i="6" a="1"/>
  <c r="AX23" i="6" s="1"/>
  <c r="BA23" i="6" a="1"/>
  <c r="BA23" i="6" s="1"/>
  <c r="AY23" i="6" a="1"/>
  <c r="AY23" i="6" s="1"/>
  <c r="AM23" i="6"/>
  <c r="AP23" i="6"/>
  <c r="BB23" i="6" a="1"/>
  <c r="BB23" i="6" s="1"/>
  <c r="AQ23" i="6"/>
  <c r="AR23" i="6"/>
  <c r="BD23" i="6" a="1"/>
  <c r="BD23" i="6" s="1"/>
  <c r="BD17" i="6" a="1"/>
  <c r="BD17" i="6" s="1"/>
  <c r="AH16" i="6"/>
  <c r="AS23" i="6"/>
  <c r="AS17" i="6"/>
  <c r="B19" i="9"/>
  <c r="AB10" i="12"/>
  <c r="W27" i="10"/>
  <c r="W32" i="10" s="1"/>
  <c r="N12" i="9"/>
  <c r="J72" i="4"/>
  <c r="U8" i="4"/>
  <c r="BD12" i="6"/>
  <c r="AS12" i="6"/>
  <c r="AI13" i="6"/>
  <c r="AI12" i="6" s="1"/>
  <c r="BE13" i="6"/>
  <c r="AC12" i="8"/>
  <c r="AI13" i="12"/>
  <c r="K72" i="4"/>
  <c r="J112" i="4"/>
  <c r="AT13" i="6"/>
  <c r="O12" i="10"/>
  <c r="O11" i="10" s="1" a="1"/>
  <c r="O11" i="10" s="1"/>
  <c r="K32" i="4"/>
  <c r="J32" i="4"/>
  <c r="AY33" i="6" l="1" a="1"/>
  <c r="AY33" i="6" s="1"/>
  <c r="AX33" i="6" a="1"/>
  <c r="AX33" i="6" s="1"/>
  <c r="AS33" i="6"/>
  <c r="BA33" i="6" a="1"/>
  <c r="BA33" i="6" s="1"/>
  <c r="BC33" i="6" a="1"/>
  <c r="BC33" i="6" s="1"/>
  <c r="AP33" i="6"/>
  <c r="AQ33" i="6"/>
  <c r="BD33" i="6" a="1"/>
  <c r="BD33" i="6" s="1"/>
  <c r="AM33" i="6"/>
  <c r="BB33" i="6" a="1"/>
  <c r="BB33" i="6" s="1"/>
  <c r="AN33" i="6"/>
  <c r="AO33" i="6"/>
  <c r="AZ33" i="6" a="1"/>
  <c r="AZ33" i="6" s="1"/>
  <c r="AT23" i="6"/>
  <c r="AT17" i="6"/>
  <c r="AT33" i="6"/>
  <c r="BE23" i="6" a="1"/>
  <c r="BE23" i="6" s="1"/>
  <c r="BE33" i="6" a="1"/>
  <c r="BE33" i="6" s="1"/>
  <c r="BE17" i="6" a="1"/>
  <c r="BE17" i="6" s="1"/>
  <c r="B20" i="9"/>
  <c r="AI16" i="6"/>
  <c r="O12" i="9"/>
  <c r="Y27" i="10"/>
  <c r="Y32" i="10" s="1"/>
  <c r="T11" i="11"/>
  <c r="BE12" i="6"/>
  <c r="AT12" i="6"/>
  <c r="AJ13" i="6"/>
  <c r="AJ12" i="6" s="1"/>
  <c r="BF13" i="6"/>
  <c r="AD12" i="8"/>
  <c r="AJ13" i="12"/>
  <c r="AU13" i="6"/>
  <c r="P12" i="10"/>
  <c r="P11" i="10" s="1" a="1"/>
  <c r="P11" i="10" s="1"/>
  <c r="AU23" i="6" l="1"/>
  <c r="AU33" i="6"/>
  <c r="AU17" i="6"/>
  <c r="BF23" i="6" a="1"/>
  <c r="BF23" i="6" s="1"/>
  <c r="BF33" i="6" a="1"/>
  <c r="BF33" i="6" s="1"/>
  <c r="BF17" i="6" a="1"/>
  <c r="BF17" i="6" s="1"/>
  <c r="AJ16" i="6"/>
  <c r="B21" i="9"/>
  <c r="P12" i="9"/>
  <c r="AA27" i="10"/>
  <c r="AA32" i="10" s="1"/>
  <c r="BF12" i="6"/>
  <c r="AU12" i="6"/>
  <c r="AK13" i="6"/>
  <c r="BG13" i="6"/>
  <c r="AE12" i="8"/>
  <c r="AK13" i="12"/>
  <c r="AV13" i="6"/>
  <c r="Q12" i="10"/>
  <c r="Q11" i="10" s="1" a="1"/>
  <c r="Q11" i="10" s="1"/>
  <c r="M44" i="6" l="1"/>
  <c r="AV44" i="6" s="1"/>
  <c r="AV23" i="6"/>
  <c r="AV33" i="6"/>
  <c r="AV17" i="6"/>
  <c r="B22" i="9"/>
  <c r="BG23" i="6" a="1"/>
  <c r="BG23" i="6" s="1"/>
  <c r="BG33" i="6" a="1"/>
  <c r="BG33" i="6" s="1"/>
  <c r="BG17" i="6" a="1"/>
  <c r="BG17" i="6" s="1"/>
  <c r="AK12" i="6"/>
  <c r="Q12" i="9"/>
  <c r="AC27" i="10"/>
  <c r="AC32" i="10" s="1"/>
  <c r="BG12" i="6"/>
  <c r="AV12" i="6"/>
  <c r="AF12" i="8"/>
  <c r="AL13" i="12"/>
  <c r="R12" i="10"/>
  <c r="R11" i="10" s="1" a="1"/>
  <c r="R11" i="10" s="1"/>
  <c r="BG44" i="6" l="1" a="1"/>
  <c r="BG44" i="6" s="1"/>
  <c r="AQ44" i="6"/>
  <c r="BE44" i="6" a="1"/>
  <c r="BE44" i="6" s="1"/>
  <c r="AT44" i="6"/>
  <c r="AR44" i="6"/>
  <c r="BF44" i="6" a="1"/>
  <c r="BF44" i="6" s="1"/>
  <c r="AX44" i="6" a="1"/>
  <c r="AX44" i="6" s="1"/>
  <c r="AZ44" i="6" a="1"/>
  <c r="AZ44" i="6" s="1"/>
  <c r="AN44" i="6"/>
  <c r="AP44" i="6"/>
  <c r="AO44" i="6"/>
  <c r="AU44" i="6"/>
  <c r="BB44" i="6" a="1"/>
  <c r="BB44" i="6" s="1"/>
  <c r="AM44" i="6"/>
  <c r="BC44" i="6" a="1"/>
  <c r="BC44" i="6" s="1"/>
  <c r="AS44" i="6"/>
  <c r="BD44" i="6" a="1"/>
  <c r="BD44" i="6" s="1"/>
  <c r="AY44" i="6" a="1"/>
  <c r="AY44" i="6" s="1"/>
  <c r="BA44" i="6" a="1"/>
  <c r="BA44" i="6" s="1"/>
  <c r="AK16" i="6"/>
  <c r="R12" i="9"/>
  <c r="AE27" i="10"/>
  <c r="AE32" i="10" s="1"/>
  <c r="AM13" i="12"/>
  <c r="S12" i="10"/>
  <c r="S11" i="10" s="1" a="1"/>
  <c r="S11" i="10" s="1"/>
  <c r="J22" i="12" l="1" a="1"/>
  <c r="J22" i="12" s="1"/>
  <c r="L22" i="12" a="1"/>
  <c r="L22" i="12" s="1"/>
  <c r="L36" i="12" a="1"/>
  <c r="L36" i="12" s="1"/>
  <c r="J36" i="12" a="1"/>
  <c r="J36" i="12" s="1"/>
  <c r="J39" i="12" a="1"/>
  <c r="J39" i="12" s="1"/>
  <c r="J43" i="12" a="1"/>
  <c r="J43" i="12" s="1"/>
  <c r="J40" i="12" a="1"/>
  <c r="J40" i="12" s="1"/>
  <c r="J41" i="12" a="1"/>
  <c r="J41" i="12" s="1"/>
  <c r="L42" i="12" a="1"/>
  <c r="L42" i="12" s="1"/>
  <c r="L41" i="12" a="1"/>
  <c r="L41" i="12" s="1"/>
  <c r="J42" i="12" a="1"/>
  <c r="J42" i="12" s="1"/>
  <c r="L40" i="12" a="1"/>
  <c r="L40" i="12" s="1"/>
  <c r="L39" i="12" a="1"/>
  <c r="L39" i="12" s="1"/>
  <c r="K39" i="12" s="1"/>
  <c r="L43" i="12" a="1"/>
  <c r="L43" i="12" s="1"/>
  <c r="J29" i="12" a="1"/>
  <c r="J29" i="12" s="1"/>
  <c r="L30" i="12" a="1"/>
  <c r="L30" i="12" s="1"/>
  <c r="L31" i="12" a="1"/>
  <c r="L31" i="12" s="1"/>
  <c r="L32" i="12" a="1"/>
  <c r="L32" i="12" s="1"/>
  <c r="J30" i="12" a="1"/>
  <c r="J30" i="12" s="1"/>
  <c r="J32" i="12" a="1"/>
  <c r="J32" i="12" s="1"/>
  <c r="J31" i="12" a="1"/>
  <c r="J31" i="12" s="1"/>
  <c r="L29" i="12" a="1"/>
  <c r="L29" i="12" s="1"/>
  <c r="J28" i="12" a="1"/>
  <c r="J28" i="12" s="1"/>
  <c r="L28" i="12" a="1"/>
  <c r="L28" i="12" s="1"/>
  <c r="L19" i="12" a="1"/>
  <c r="L19" i="12" s="1"/>
  <c r="J19" i="12" a="1"/>
  <c r="J19" i="12" s="1"/>
  <c r="M49" i="6"/>
  <c r="AQ49" i="6" s="1"/>
  <c r="L18" i="12" a="1"/>
  <c r="L18" i="12" s="1"/>
  <c r="J24" i="12" a="1"/>
  <c r="J24" i="12" s="1"/>
  <c r="J20" i="12" a="1"/>
  <c r="J20" i="12" s="1"/>
  <c r="L24" i="12" a="1"/>
  <c r="L24" i="12" s="1"/>
  <c r="J18" i="12" a="1"/>
  <c r="J18" i="12" s="1"/>
  <c r="J47" i="12" a="1"/>
  <c r="J47" i="12" s="1"/>
  <c r="J35" i="12" a="1"/>
  <c r="J35" i="12" s="1"/>
  <c r="L20" i="12" a="1"/>
  <c r="L20" i="12" s="1"/>
  <c r="J26" i="12" a="1"/>
  <c r="J26" i="12" s="1"/>
  <c r="L38" i="12" a="1"/>
  <c r="L38" i="12" s="1"/>
  <c r="L50" i="12" a="1"/>
  <c r="L50" i="12" s="1"/>
  <c r="J25" i="12" a="1"/>
  <c r="J25" i="12" s="1"/>
  <c r="L25" i="12" a="1"/>
  <c r="L25" i="12" s="1"/>
  <c r="L47" i="12" a="1"/>
  <c r="L47" i="12" s="1"/>
  <c r="J53" i="12" a="1"/>
  <c r="J53" i="12" s="1"/>
  <c r="L35" i="12" a="1"/>
  <c r="L35" i="12" s="1"/>
  <c r="J50" i="12" a="1"/>
  <c r="J50" i="12" s="1"/>
  <c r="L51" i="12" a="1"/>
  <c r="L51" i="12" s="1"/>
  <c r="J52" i="12" a="1"/>
  <c r="J52" i="12" s="1"/>
  <c r="L48" i="12" a="1"/>
  <c r="L48" i="12" s="1"/>
  <c r="L46" i="12" a="1"/>
  <c r="L46" i="12" s="1"/>
  <c r="L26" i="12" a="1"/>
  <c r="L26" i="12" s="1"/>
  <c r="L34" i="12" a="1"/>
  <c r="L34" i="12" s="1"/>
  <c r="J48" i="12" a="1"/>
  <c r="J48" i="12" s="1"/>
  <c r="L53" i="12" a="1"/>
  <c r="L53" i="12" s="1"/>
  <c r="L27" i="12" a="1"/>
  <c r="L27" i="12" s="1"/>
  <c r="J27" i="12" a="1"/>
  <c r="J27" i="12" s="1"/>
  <c r="L37" i="12" a="1"/>
  <c r="L37" i="12" s="1"/>
  <c r="J37" i="12" a="1"/>
  <c r="J37" i="12" s="1"/>
  <c r="J38" i="12" a="1"/>
  <c r="J38" i="12" s="1"/>
  <c r="J51" i="12" a="1"/>
  <c r="J51" i="12" s="1"/>
  <c r="J34" i="12" a="1"/>
  <c r="J34" i="12" s="1"/>
  <c r="L52" i="12" a="1"/>
  <c r="L52" i="12" s="1"/>
  <c r="J46" i="12" a="1"/>
  <c r="J46" i="12" s="1"/>
  <c r="AO7" i="12" a="1"/>
  <c r="AO7" i="12" s="1"/>
  <c r="L14" i="12" a="1"/>
  <c r="L14" i="12" s="1"/>
  <c r="J14" i="12" a="1"/>
  <c r="J14" i="12" s="1"/>
  <c r="S12" i="9"/>
  <c r="T12" i="10"/>
  <c r="T11" i="10" s="1" a="1"/>
  <c r="T11" i="10" s="1"/>
  <c r="K22" i="12" l="1"/>
  <c r="K43" i="12"/>
  <c r="K36" i="12"/>
  <c r="K42" i="12"/>
  <c r="K41" i="12"/>
  <c r="K40" i="12"/>
  <c r="K30" i="12"/>
  <c r="K28" i="12"/>
  <c r="K29" i="12"/>
  <c r="K32" i="12"/>
  <c r="K31" i="12"/>
  <c r="K19" i="12"/>
  <c r="BB49" i="6" a="1"/>
  <c r="BB49" i="6" s="1"/>
  <c r="AV49" i="6"/>
  <c r="AN49" i="6"/>
  <c r="BF49" i="6" a="1"/>
  <c r="BF49" i="6" s="1"/>
  <c r="BD49" i="6" a="1"/>
  <c r="BD49" i="6" s="1"/>
  <c r="BE49" i="6" a="1"/>
  <c r="BE49" i="6" s="1"/>
  <c r="AR49" i="6"/>
  <c r="AY49" i="6" a="1"/>
  <c r="AY49" i="6" s="1"/>
  <c r="BA49" i="6" a="1"/>
  <c r="BA49" i="6" s="1"/>
  <c r="BC49" i="6" a="1"/>
  <c r="BC49" i="6" s="1"/>
  <c r="AT49" i="6"/>
  <c r="AM49" i="6"/>
  <c r="AP49" i="6"/>
  <c r="AU49" i="6"/>
  <c r="AZ49" i="6" a="1"/>
  <c r="AZ49" i="6" s="1"/>
  <c r="AS49" i="6"/>
  <c r="AX49" i="6" a="1"/>
  <c r="AX49" i="6" s="1"/>
  <c r="AO49" i="6"/>
  <c r="BG49" i="6" a="1"/>
  <c r="BG49" i="6" s="1"/>
  <c r="K20" i="12"/>
  <c r="K53" i="12"/>
  <c r="K51" i="12"/>
  <c r="K48" i="12"/>
  <c r="K38" i="12"/>
  <c r="K47" i="12"/>
  <c r="K25" i="12"/>
  <c r="K37" i="12"/>
  <c r="K52" i="12"/>
  <c r="K18" i="12"/>
  <c r="K34" i="12"/>
  <c r="K27" i="12"/>
  <c r="K26" i="12"/>
  <c r="K50" i="12"/>
  <c r="K46" i="12"/>
  <c r="K35" i="12"/>
  <c r="K24" i="12"/>
  <c r="T12" i="9"/>
  <c r="K14" i="12"/>
  <c r="U12" i="10"/>
  <c r="U11" i="10" s="1" a="1"/>
  <c r="U11" i="10" s="1"/>
  <c r="U12" i="9" l="1"/>
  <c r="V12" i="10"/>
  <c r="V11" i="10" s="1" a="1"/>
  <c r="V11" i="10" s="1"/>
  <c r="V12" i="9" l="1"/>
  <c r="W12" i="10"/>
  <c r="W11" i="10" s="1" a="1"/>
  <c r="W11" i="10" s="1"/>
  <c r="W12" i="9" l="1"/>
  <c r="X12" i="10"/>
  <c r="X11" i="10" s="1" a="1"/>
  <c r="X11" i="10" s="1"/>
  <c r="E54" i="12" l="1"/>
  <c r="X12" i="9"/>
  <c r="Y12" i="10"/>
  <c r="Y11" i="10" s="1" a="1"/>
  <c r="Y11" i="10" s="1"/>
  <c r="Y12" i="9" l="1"/>
  <c r="Z12" i="10"/>
  <c r="Z11" i="10" s="1" a="1"/>
  <c r="Z11" i="10" s="1"/>
  <c r="Z12" i="9" l="1"/>
  <c r="AA12" i="10"/>
  <c r="AA11" i="10" s="1" a="1"/>
  <c r="AA11" i="10" s="1"/>
  <c r="AA12" i="9" l="1"/>
  <c r="AB12" i="10"/>
  <c r="AB11" i="10" s="1" a="1"/>
  <c r="AB11" i="10" s="1"/>
  <c r="L54" i="6" l="1"/>
  <c r="C54" i="5"/>
  <c r="AB12" i="9"/>
  <c r="AC12" i="10"/>
  <c r="AC11" i="10" s="1" a="1"/>
  <c r="AC11" i="10" s="1"/>
  <c r="AE54" i="5" l="1" a="1"/>
  <c r="AE54" i="5" s="1"/>
  <c r="B54" i="5"/>
  <c r="G54" i="5"/>
  <c r="C55" i="5"/>
  <c r="AF54" i="5" a="1"/>
  <c r="AF54" i="5" s="1"/>
  <c r="E54" i="5"/>
  <c r="H54" i="5"/>
  <c r="W54" i="5" a="1"/>
  <c r="W54" i="5" s="1"/>
  <c r="H54" i="12" s="1" a="1"/>
  <c r="H54" i="12" s="1"/>
  <c r="AD54" i="5"/>
  <c r="F54" i="5"/>
  <c r="A54" i="12"/>
  <c r="N54" i="5"/>
  <c r="D54" i="6" s="1"/>
  <c r="G54" i="6" s="1"/>
  <c r="F54" i="6"/>
  <c r="B54" i="6"/>
  <c r="L55" i="6"/>
  <c r="AC12" i="9"/>
  <c r="AD12" i="10"/>
  <c r="AD11" i="10" s="1" a="1"/>
  <c r="AD11" i="10" s="1"/>
  <c r="AD55" i="5" l="1"/>
  <c r="F35" i="8" s="1" a="1"/>
  <c r="F35" i="8" s="1"/>
  <c r="F36" i="8" s="1"/>
  <c r="N55" i="5"/>
  <c r="D55" i="6" s="1"/>
  <c r="K55" i="5"/>
  <c r="AE55" i="5" a="1"/>
  <c r="AE55" i="5" s="1"/>
  <c r="F55" i="5"/>
  <c r="J21" i="5" s="1"/>
  <c r="D21" i="5" s="1"/>
  <c r="B21" i="12" s="1"/>
  <c r="J55" i="5"/>
  <c r="W55" i="5" a="1"/>
  <c r="W55" i="5" s="1"/>
  <c r="H55" i="12" s="1" a="1"/>
  <c r="H55" i="12" s="1"/>
  <c r="B55" i="5"/>
  <c r="H55" i="5"/>
  <c r="G55" i="5"/>
  <c r="A55" i="12"/>
  <c r="E55" i="5"/>
  <c r="D55" i="5"/>
  <c r="B55" i="12" s="1"/>
  <c r="B55" i="6"/>
  <c r="S54" i="5" a="1"/>
  <c r="S54" i="5" s="1"/>
  <c r="F54" i="12" s="1" a="1"/>
  <c r="F54" i="12" s="1"/>
  <c r="AG54" i="5" a="1"/>
  <c r="AG54" i="5" s="1"/>
  <c r="A54" i="6"/>
  <c r="AD12" i="9"/>
  <c r="AE12" i="10"/>
  <c r="AE11" i="10" s="1" a="1"/>
  <c r="AE11" i="10" s="1"/>
  <c r="M35" i="8" l="1"/>
  <c r="P35" i="8" s="1"/>
  <c r="J35" i="8"/>
  <c r="J55" i="12" a="1"/>
  <c r="J55" i="12" s="1"/>
  <c r="L55" i="12" a="1"/>
  <c r="L55" i="12" s="1"/>
  <c r="M54" i="6"/>
  <c r="AE12" i="9"/>
  <c r="AF12" i="10"/>
  <c r="AF11" i="10" s="1" a="1"/>
  <c r="AF11" i="10" s="1"/>
  <c r="O35" i="8" l="1"/>
  <c r="S37" i="8"/>
  <c r="N35" i="8"/>
  <c r="Q35" i="8"/>
  <c r="K55" i="12"/>
  <c r="AR54" i="6"/>
  <c r="AN54" i="6"/>
  <c r="BB54" i="6" a="1"/>
  <c r="BB54" i="6" s="1"/>
  <c r="AS54" i="6"/>
  <c r="BG54" i="6" a="1"/>
  <c r="BG54" i="6" s="1"/>
  <c r="BE54" i="6" a="1"/>
  <c r="BE54" i="6" s="1"/>
  <c r="AO54" i="6"/>
  <c r="BA54" i="6" a="1"/>
  <c r="BA54" i="6" s="1"/>
  <c r="AY54" i="6" a="1"/>
  <c r="AY54" i="6" s="1"/>
  <c r="AQ54" i="6"/>
  <c r="AM54" i="6"/>
  <c r="AX54" i="6" a="1"/>
  <c r="AX54" i="6" s="1"/>
  <c r="AV54" i="6"/>
  <c r="AP54" i="6"/>
  <c r="BC54" i="6" a="1"/>
  <c r="BC54" i="6" s="1"/>
  <c r="AU54" i="6"/>
  <c r="AT54" i="6"/>
  <c r="BF54" i="6" a="1"/>
  <c r="BF54" i="6" s="1"/>
  <c r="AZ54" i="6" a="1"/>
  <c r="AZ54" i="6" s="1"/>
  <c r="BD54" i="6" a="1"/>
  <c r="BD54" i="6" s="1"/>
  <c r="M1" i="6"/>
  <c r="R35" i="8" l="1"/>
  <c r="F37" i="8" s="1"/>
  <c r="H22" i="6" a="1"/>
  <c r="H22" i="6" s="1"/>
  <c r="H21" i="6" a="1"/>
  <c r="H21" i="6" s="1"/>
  <c r="H36" i="6" a="1"/>
  <c r="H36" i="6" s="1"/>
  <c r="A14" i="13"/>
  <c r="H39" i="6" a="1"/>
  <c r="H39" i="6" s="1"/>
  <c r="H40" i="6" a="1"/>
  <c r="H40" i="6" s="1"/>
  <c r="H41" i="6" a="1"/>
  <c r="H41" i="6" s="1"/>
  <c r="H42" i="6" a="1"/>
  <c r="H42" i="6" s="1"/>
  <c r="H43" i="6" a="1"/>
  <c r="H43" i="6" s="1"/>
  <c r="H29" i="6" a="1"/>
  <c r="H29" i="6" s="1"/>
  <c r="H30" i="6" a="1"/>
  <c r="H30" i="6" s="1"/>
  <c r="H32" i="6" a="1"/>
  <c r="H32" i="6" s="1"/>
  <c r="H31" i="6" a="1"/>
  <c r="H31" i="6" s="1"/>
  <c r="H28" i="6" a="1"/>
  <c r="H28" i="6" s="1"/>
  <c r="H19" i="6" a="1"/>
  <c r="H19" i="6" s="1"/>
  <c r="J16" i="6" a="1"/>
  <c r="J16" i="6" s="1"/>
  <c r="J17" i="6" a="1"/>
  <c r="J17" i="6" s="1"/>
  <c r="J23" i="6" a="1"/>
  <c r="J23" i="6" s="1"/>
  <c r="H23" i="6" a="1"/>
  <c r="H23" i="6" s="1"/>
  <c r="H26" i="6" a="1"/>
  <c r="H26" i="6" s="1"/>
  <c r="H25" i="6" a="1"/>
  <c r="H25" i="6" s="1"/>
  <c r="H24" i="6" a="1"/>
  <c r="H24" i="6" s="1"/>
  <c r="H17" i="6" a="1"/>
  <c r="H17" i="6" s="1"/>
  <c r="H18" i="6" a="1"/>
  <c r="H18" i="6" s="1"/>
  <c r="H20" i="6" a="1"/>
  <c r="H20" i="6" s="1"/>
  <c r="H27" i="6" a="1"/>
  <c r="H27" i="6" s="1"/>
  <c r="J33" i="6" a="1"/>
  <c r="J33" i="6" s="1"/>
  <c r="H33" i="6" a="1"/>
  <c r="H33" i="6" s="1"/>
  <c r="H34" i="6" a="1"/>
  <c r="H34" i="6" s="1"/>
  <c r="H35" i="6" a="1"/>
  <c r="H35" i="6" s="1"/>
  <c r="H37" i="6" a="1"/>
  <c r="H37" i="6" s="1"/>
  <c r="H38" i="6" a="1"/>
  <c r="H38" i="6" s="1"/>
  <c r="J44" i="6" a="1"/>
  <c r="J44" i="6" s="1"/>
  <c r="H44" i="6" a="1"/>
  <c r="H44" i="6" s="1"/>
  <c r="H46" i="6" a="1"/>
  <c r="H46" i="6" s="1"/>
  <c r="H45" i="6" a="1"/>
  <c r="H45" i="6" s="1"/>
  <c r="H47" i="6" a="1"/>
  <c r="H47" i="6" s="1"/>
  <c r="H48" i="6" a="1"/>
  <c r="H48" i="6" s="1"/>
  <c r="J49" i="6" a="1"/>
  <c r="J49" i="6" s="1"/>
  <c r="H50" i="6" a="1"/>
  <c r="H50" i="6" s="1"/>
  <c r="H49" i="6" a="1"/>
  <c r="H49" i="6" s="1"/>
  <c r="H51" i="6" a="1"/>
  <c r="H51" i="6" s="1"/>
  <c r="H52" i="6" a="1"/>
  <c r="H52" i="6" s="1"/>
  <c r="H53" i="6" a="1"/>
  <c r="H53" i="6" s="1"/>
  <c r="J54" i="6" a="1"/>
  <c r="J54" i="6" s="1"/>
  <c r="H54" i="6" a="1"/>
  <c r="H54" i="6" s="1"/>
  <c r="H55" i="6" a="1"/>
  <c r="H55"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2" i="5" l="1"/>
  <c r="T21" i="5"/>
  <c r="AB21" i="6"/>
  <c r="AC21" i="6"/>
  <c r="AD21" i="6"/>
  <c r="AE21" i="6"/>
  <c r="AF21" i="6"/>
  <c r="AG21" i="6"/>
  <c r="AH21" i="6"/>
  <c r="AI21" i="6"/>
  <c r="AJ21" i="6"/>
  <c r="AK21" i="6"/>
  <c r="T36" i="5"/>
  <c r="T41" i="5"/>
  <c r="T39" i="5"/>
  <c r="T43" i="5"/>
  <c r="T42" i="5"/>
  <c r="T40" i="5"/>
  <c r="T31" i="5"/>
  <c r="T32" i="5"/>
  <c r="T30" i="5"/>
  <c r="T29" i="5"/>
  <c r="T28" i="5"/>
  <c r="T19" i="5"/>
  <c r="T17" i="5"/>
  <c r="AB17" i="6"/>
  <c r="AC17" i="6"/>
  <c r="AD17" i="6"/>
  <c r="AF17" i="6"/>
  <c r="AE17" i="6"/>
  <c r="AG17" i="6"/>
  <c r="AH17" i="6"/>
  <c r="AI17" i="6"/>
  <c r="AJ17" i="6"/>
  <c r="AK17" i="6"/>
  <c r="T47" i="5"/>
  <c r="T35" i="5"/>
  <c r="T53" i="5"/>
  <c r="T51" i="5"/>
  <c r="T33" i="5"/>
  <c r="AB33" i="6"/>
  <c r="AC33" i="6"/>
  <c r="AD33" i="6"/>
  <c r="AF33" i="6"/>
  <c r="AE33" i="6"/>
  <c r="AG33" i="6"/>
  <c r="AH33" i="6"/>
  <c r="AI33" i="6"/>
  <c r="AJ33" i="6"/>
  <c r="AK33" i="6"/>
  <c r="T24" i="5"/>
  <c r="T52" i="5"/>
  <c r="T54" i="5"/>
  <c r="AB54" i="6"/>
  <c r="AE54" i="6"/>
  <c r="AF54" i="6"/>
  <c r="AD54" i="6"/>
  <c r="AK54" i="6"/>
  <c r="AC54" i="6"/>
  <c r="AJ54" i="6"/>
  <c r="AH54" i="6"/>
  <c r="AI54" i="6"/>
  <c r="AG54" i="6"/>
  <c r="T44" i="5"/>
  <c r="AB44" i="6"/>
  <c r="AC44" i="6"/>
  <c r="AD44" i="6"/>
  <c r="AE44" i="6"/>
  <c r="AF44" i="6"/>
  <c r="AG44" i="6"/>
  <c r="AH44" i="6"/>
  <c r="AI44" i="6"/>
  <c r="AJ44" i="6"/>
  <c r="AK44" i="6"/>
  <c r="T27" i="5"/>
  <c r="T25" i="5"/>
  <c r="T34" i="5"/>
  <c r="T49" i="5"/>
  <c r="AB49" i="6"/>
  <c r="AC49" i="6"/>
  <c r="AD49" i="6"/>
  <c r="AE49" i="6"/>
  <c r="AF49" i="6"/>
  <c r="AG49" i="6"/>
  <c r="AH49" i="6"/>
  <c r="AI49" i="6"/>
  <c r="AJ49" i="6"/>
  <c r="AK49" i="6"/>
  <c r="T26" i="5"/>
  <c r="T38" i="5"/>
  <c r="T45" i="5"/>
  <c r="T46" i="5"/>
  <c r="T55" i="5"/>
  <c r="T50" i="5"/>
  <c r="T23" i="5"/>
  <c r="AB23" i="6"/>
  <c r="AC23" i="6"/>
  <c r="AD23" i="6"/>
  <c r="AF23" i="6"/>
  <c r="AE23" i="6"/>
  <c r="AG23" i="6"/>
  <c r="AH23" i="6"/>
  <c r="AI23" i="6"/>
  <c r="AJ23" i="6"/>
  <c r="AK23" i="6"/>
  <c r="T20" i="5"/>
  <c r="T48" i="5"/>
  <c r="T37" i="5"/>
  <c r="T18" i="5"/>
  <c r="I10" i="7"/>
  <c r="K13" i="7"/>
  <c r="L13" i="7" s="1"/>
  <c r="J10" i="7"/>
  <c r="G51" i="12" l="1" a="1"/>
  <c r="G51" i="12" s="1"/>
  <c r="G23" i="12" a="1"/>
  <c r="G23" i="12" s="1"/>
  <c r="G33" i="12" a="1"/>
  <c r="G33" i="12" s="1"/>
  <c r="G24" i="12" a="1"/>
  <c r="G24" i="12" s="1"/>
  <c r="G34" i="12" a="1"/>
  <c r="G34" i="12" s="1"/>
  <c r="G54" i="12" a="1"/>
  <c r="G54" i="12" s="1"/>
  <c r="G38" i="12" a="1"/>
  <c r="G38" i="12" s="1"/>
  <c r="G44" i="12" a="1"/>
  <c r="G44" i="12" s="1"/>
  <c r="G52" i="12" a="1"/>
  <c r="G52" i="12" s="1"/>
  <c r="G27" i="12" a="1"/>
  <c r="G27" i="12" s="1"/>
  <c r="G47" i="12" a="1"/>
  <c r="G47" i="12" s="1"/>
  <c r="G48" i="12" a="1"/>
  <c r="G48" i="12" s="1"/>
  <c r="G37" i="12" a="1"/>
  <c r="G37" i="12" s="1"/>
  <c r="G49" i="12" a="1"/>
  <c r="G49" i="12" s="1"/>
  <c r="G25" i="12" a="1"/>
  <c r="G25" i="12" s="1"/>
  <c r="G35" i="12" a="1"/>
  <c r="G35" i="12" s="1"/>
  <c r="G20" i="12" a="1"/>
  <c r="G20" i="12" s="1"/>
  <c r="G18" i="12" a="1"/>
  <c r="G18" i="12" s="1"/>
  <c r="G26" i="12" a="1"/>
  <c r="G26" i="12" s="1"/>
  <c r="G53" i="12" a="1"/>
  <c r="G53" i="12" s="1"/>
  <c r="G45" i="12" a="1"/>
  <c r="G45" i="12" s="1"/>
  <c r="G46" i="12" a="1"/>
  <c r="G46" i="12" s="1"/>
  <c r="G55" i="12" a="1"/>
  <c r="G55" i="12" s="1"/>
  <c r="G50" i="12" a="1"/>
  <c r="G50" i="12" s="1"/>
  <c r="G17" i="12" a="1"/>
  <c r="G17" i="12" s="1"/>
  <c r="M13" i="7"/>
  <c r="L10" i="7"/>
  <c r="N13" i="7" l="1"/>
  <c r="M10" i="7"/>
  <c r="O13" i="7" l="1"/>
  <c r="N10" i="7"/>
  <c r="P13" i="7" l="1"/>
  <c r="O10" i="7"/>
  <c r="Q13" i="7" l="1"/>
  <c r="P10" i="7"/>
  <c r="R13" i="7" l="1"/>
  <c r="Q10" i="7"/>
  <c r="S13" i="7" l="1"/>
  <c r="R10" i="7"/>
  <c r="T13" i="7" l="1"/>
  <c r="S10" i="7"/>
  <c r="U13" i="7" l="1"/>
  <c r="T10" i="7"/>
  <c r="V13" i="7" l="1"/>
  <c r="U10" i="7"/>
  <c r="K10" i="7"/>
  <c r="W13" i="7" l="1"/>
  <c r="V10" i="7"/>
  <c r="T14" i="5"/>
  <c r="G14" i="12" s="1" a="1"/>
  <c r="G14" i="12" s="1"/>
  <c r="X13" i="7" l="1"/>
  <c r="W10" i="7"/>
  <c r="Y13" i="7" l="1"/>
  <c r="X10" i="7"/>
  <c r="A8" i="9"/>
  <c r="B7" i="9" a="1"/>
  <c r="B7" i="9" s="1"/>
  <c r="Y10" i="7" l="1"/>
  <c r="D15" i="7"/>
  <c r="B15" i="10"/>
  <c r="A15" i="10" l="1"/>
  <c r="B15" i="7"/>
  <c r="C15" i="9"/>
  <c r="F15" i="9" s="1"/>
  <c r="C15" i="10"/>
  <c r="A15" i="7"/>
  <c r="C16" i="7" l="1" a="1"/>
  <c r="C16" i="7" s="1"/>
  <c r="C17" i="7" s="1" a="1"/>
  <c r="C17" i="7" s="1"/>
  <c r="B16" i="10"/>
  <c r="B17" i="10" s="1"/>
  <c r="D21" i="2"/>
  <c r="B17" i="7" l="1"/>
  <c r="C18" i="7" a="1"/>
  <c r="C18" i="7" s="1"/>
  <c r="B16" i="7"/>
  <c r="B18" i="10"/>
  <c r="N14" i="6"/>
  <c r="B19" i="10" l="1"/>
  <c r="C19" i="7" a="1"/>
  <c r="C19" i="7" s="1"/>
  <c r="B18" i="7"/>
  <c r="U1" i="7" a="1"/>
  <c r="U1" i="7" s="1"/>
  <c r="W1" i="7" a="1"/>
  <c r="W1" i="7" s="1"/>
  <c r="Y1" i="7" a="1"/>
  <c r="Y1" i="7" s="1"/>
  <c r="S1" i="7" a="1"/>
  <c r="S1" i="7" s="1"/>
  <c r="T1" i="7" a="1"/>
  <c r="T1" i="7" s="1"/>
  <c r="V1" i="7" a="1"/>
  <c r="V1" i="7" s="1"/>
  <c r="X1" i="7" a="1"/>
  <c r="X1" i="7" s="1"/>
  <c r="B20" i="10" l="1"/>
  <c r="C20" i="7" a="1"/>
  <c r="C20" i="7" s="1"/>
  <c r="B19" i="7"/>
  <c r="R1" i="7" a="1"/>
  <c r="R1" i="7" s="1"/>
  <c r="M1" i="7" a="1"/>
  <c r="M1" i="7" s="1"/>
  <c r="P1" i="7" a="1"/>
  <c r="P1" i="7" s="1"/>
  <c r="Q1" i="7" a="1"/>
  <c r="Q1" i="7" s="1"/>
  <c r="O1" i="7" a="1"/>
  <c r="O1" i="7" s="1"/>
  <c r="N1" i="7" a="1"/>
  <c r="N1" i="7" s="1"/>
  <c r="B20" i="7" l="1"/>
  <c r="C21" i="7" a="1"/>
  <c r="C21" i="7" s="1"/>
  <c r="B21" i="10"/>
  <c r="F15" i="7" a="1"/>
  <c r="F15" i="7" s="1"/>
  <c r="B22" i="10" l="1"/>
  <c r="B21" i="7"/>
  <c r="C22" i="7" a="1"/>
  <c r="C22" i="7" s="1"/>
  <c r="A22" i="6" s="1"/>
  <c r="I15" i="7"/>
  <c r="J15" i="7"/>
  <c r="Q15" i="7"/>
  <c r="L1" i="7" a="1"/>
  <c r="L1" i="7" s="1"/>
  <c r="L15" i="7"/>
  <c r="K15" i="7"/>
  <c r="N22" i="6" l="1"/>
  <c r="B22" i="7"/>
  <c r="P15" i="7"/>
  <c r="S15" i="7"/>
  <c r="N15" i="7"/>
  <c r="X15" i="7"/>
  <c r="R15" i="7"/>
  <c r="O15" i="7"/>
  <c r="T15" i="7"/>
  <c r="Y15" i="7"/>
  <c r="U15" i="7"/>
  <c r="M15" i="7"/>
  <c r="V15" i="7"/>
  <c r="W15" i="7"/>
  <c r="H15" i="7" l="1"/>
  <c r="E15" i="7"/>
  <c r="AO12" i="13" l="1"/>
  <c r="AL12" i="13"/>
  <c r="AN12" i="13" l="1" a="1"/>
  <c r="AN12" i="13" s="1"/>
  <c r="AK12" i="13" a="1"/>
  <c r="AK12" i="13" s="1"/>
  <c r="AJ12" i="13" a="1"/>
  <c r="AJ12" i="13" s="1"/>
  <c r="O15" i="12" l="1" a="1"/>
  <c r="O15" i="12" s="1"/>
  <c r="M15" i="12" a="1"/>
  <c r="M15" i="12" s="1"/>
  <c r="J14" i="6" a="1"/>
  <c r="J14" i="6" s="1"/>
  <c r="I15" i="12" l="1" a="1"/>
  <c r="I15"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J10" i="13" l="1"/>
  <c r="A55" i="6" l="1"/>
  <c r="A50" i="6"/>
  <c r="A45" i="6"/>
  <c r="A34" i="6"/>
  <c r="A24" i="6"/>
  <c r="A18" i="6"/>
  <c r="C10" i="7"/>
  <c r="M18" i="6" l="1"/>
  <c r="A19" i="6"/>
  <c r="A25" i="6"/>
  <c r="A35" i="6"/>
  <c r="A46" i="6"/>
  <c r="A51" i="6"/>
  <c r="BB18" i="6" l="1" a="1"/>
  <c r="BB18" i="6" s="1"/>
  <c r="AY18" i="6" a="1"/>
  <c r="AY18" i="6" s="1"/>
  <c r="BG18" i="6" a="1"/>
  <c r="BG18" i="6" s="1"/>
  <c r="AI18" i="6"/>
  <c r="AN18" i="6"/>
  <c r="BD18" i="6" a="1"/>
  <c r="BD18" i="6" s="1"/>
  <c r="AP18" i="6"/>
  <c r="AO18" i="6"/>
  <c r="BF18" i="6" a="1"/>
  <c r="BF18" i="6" s="1"/>
  <c r="AD18" i="6"/>
  <c r="AS18" i="6"/>
  <c r="AJ18" i="6"/>
  <c r="AR18" i="6"/>
  <c r="AV18" i="6"/>
  <c r="AU18" i="6"/>
  <c r="AF18" i="6"/>
  <c r="AC18" i="6"/>
  <c r="BE18" i="6" a="1"/>
  <c r="BE18" i="6" s="1"/>
  <c r="AK18" i="6"/>
  <c r="AX18" i="6" a="1"/>
  <c r="AX18" i="6" s="1"/>
  <c r="AB18" i="6"/>
  <c r="BC18" i="6" a="1"/>
  <c r="BC18" i="6" s="1"/>
  <c r="AE18" i="6"/>
  <c r="A36" i="6"/>
  <c r="M19" i="6"/>
  <c r="N19" i="6"/>
  <c r="A20" i="6"/>
  <c r="M20" i="6" s="1"/>
  <c r="A26" i="6"/>
  <c r="AQ18" i="6"/>
  <c r="AZ18" i="6" a="1"/>
  <c r="AZ18" i="6" s="1"/>
  <c r="AM18" i="6"/>
  <c r="BA18" i="6" a="1"/>
  <c r="BA18" i="6" s="1"/>
  <c r="AG18" i="6"/>
  <c r="AH18" i="6"/>
  <c r="AT18" i="6"/>
  <c r="A52" i="6"/>
  <c r="A47" i="6"/>
  <c r="M22" i="6" l="1"/>
  <c r="X18" i="5" a="1"/>
  <c r="X18" i="5" s="1"/>
  <c r="I18" i="12" s="1"/>
  <c r="M18" i="12" s="1" a="1"/>
  <c r="M18" i="12" s="1"/>
  <c r="A27" i="6"/>
  <c r="AM19" i="6"/>
  <c r="BG19" i="6" a="1"/>
  <c r="BG19" i="6" s="1"/>
  <c r="BB19" i="6" a="1"/>
  <c r="BB19" i="6" s="1"/>
  <c r="BC19" i="6" a="1"/>
  <c r="BC19" i="6" s="1"/>
  <c r="AN19" i="6"/>
  <c r="AF19" i="6"/>
  <c r="AJ19" i="6"/>
  <c r="AK19" i="6"/>
  <c r="AV19" i="6"/>
  <c r="AS19" i="6"/>
  <c r="AB19" i="6"/>
  <c r="AX19" i="6" a="1"/>
  <c r="AX19" i="6" s="1"/>
  <c r="BA19" i="6" a="1"/>
  <c r="BA19" i="6" s="1"/>
  <c r="AT19" i="6"/>
  <c r="AP19" i="6"/>
  <c r="AU19" i="6"/>
  <c r="AI19" i="6"/>
  <c r="AH19" i="6"/>
  <c r="AD19" i="6"/>
  <c r="AR19" i="6"/>
  <c r="BE19" i="6" a="1"/>
  <c r="BE19" i="6" s="1"/>
  <c r="BD19" i="6" a="1"/>
  <c r="BD19" i="6" s="1"/>
  <c r="AC19" i="6"/>
  <c r="AQ19" i="6"/>
  <c r="AE19" i="6"/>
  <c r="AO19" i="6"/>
  <c r="AZ19" i="6" a="1"/>
  <c r="AZ19" i="6" s="1"/>
  <c r="AG19" i="6"/>
  <c r="BF19" i="6" a="1"/>
  <c r="BF19" i="6" s="1"/>
  <c r="AY19" i="6" a="1"/>
  <c r="AY19" i="6" s="1"/>
  <c r="M24" i="6"/>
  <c r="N36" i="6"/>
  <c r="A37" i="6"/>
  <c r="A48" i="6"/>
  <c r="A53" i="6"/>
  <c r="BC20" i="6" a="1"/>
  <c r="BC20" i="6" s="1"/>
  <c r="AS20" i="6"/>
  <c r="AP20" i="6"/>
  <c r="BB20" i="6" a="1"/>
  <c r="BB20" i="6" s="1"/>
  <c r="AU20" i="6"/>
  <c r="AF20" i="6"/>
  <c r="AB20" i="6"/>
  <c r="AD20" i="6"/>
  <c r="AZ20" i="6" a="1"/>
  <c r="AZ20" i="6" s="1"/>
  <c r="AN20" i="6"/>
  <c r="BE20" i="6" a="1"/>
  <c r="BE20" i="6" s="1"/>
  <c r="BG20" i="6" a="1"/>
  <c r="BG20" i="6" s="1"/>
  <c r="AJ20" i="6"/>
  <c r="AG20" i="6"/>
  <c r="BD20" i="6" a="1"/>
  <c r="BD20" i="6" s="1"/>
  <c r="BF20" i="6" a="1"/>
  <c r="BF20" i="6" s="1"/>
  <c r="AK20" i="6"/>
  <c r="AO20" i="6"/>
  <c r="AX20" i="6" a="1"/>
  <c r="AX20" i="6" s="1"/>
  <c r="AV20" i="6"/>
  <c r="AE20" i="6"/>
  <c r="BA20" i="6" a="1"/>
  <c r="BA20" i="6" s="1"/>
  <c r="AQ20" i="6"/>
  <c r="AT20" i="6"/>
  <c r="AC20" i="6"/>
  <c r="AR20" i="6"/>
  <c r="AY20" i="6" a="1"/>
  <c r="AY20" i="6" s="1"/>
  <c r="AH20" i="6"/>
  <c r="AM20" i="6"/>
  <c r="AI20" i="6"/>
  <c r="C18" i="12"/>
  <c r="L56" i="6"/>
  <c r="A5" i="5"/>
  <c r="L18" i="5" l="1"/>
  <c r="C18" i="6" s="1"/>
  <c r="AO18" i="12" a="1"/>
  <c r="AO18" i="12" s="1"/>
  <c r="AU22" i="6"/>
  <c r="AV22" i="6"/>
  <c r="BC22" i="6" a="1"/>
  <c r="BC22" i="6" s="1"/>
  <c r="BB22" i="6" a="1"/>
  <c r="BB22" i="6" s="1"/>
  <c r="BG22" i="6" a="1"/>
  <c r="BG22" i="6" s="1"/>
  <c r="AF22" i="6"/>
  <c r="AJ22" i="6"/>
  <c r="AD22" i="6"/>
  <c r="AR22" i="6"/>
  <c r="BD22" i="6" a="1"/>
  <c r="BD22" i="6" s="1"/>
  <c r="AK22" i="6"/>
  <c r="BF22" i="6" a="1"/>
  <c r="BF22" i="6" s="1"/>
  <c r="AM22" i="6"/>
  <c r="BE22" i="6" a="1"/>
  <c r="BE22" i="6" s="1"/>
  <c r="AN22" i="6"/>
  <c r="AP22" i="6"/>
  <c r="AI22" i="6"/>
  <c r="AC22" i="6"/>
  <c r="AH22" i="6"/>
  <c r="AO22" i="6"/>
  <c r="AE22" i="6"/>
  <c r="BA22" i="6" a="1"/>
  <c r="BA22" i="6" s="1"/>
  <c r="AZ22" i="6" a="1"/>
  <c r="AZ22" i="6" s="1"/>
  <c r="AT22" i="6"/>
  <c r="AY22" i="6" a="1"/>
  <c r="AY22" i="6" s="1"/>
  <c r="AX22" i="6" a="1"/>
  <c r="AX22" i="6" s="1"/>
  <c r="AB22" i="6"/>
  <c r="AG22" i="6"/>
  <c r="AQ22" i="6"/>
  <c r="AS22" i="6"/>
  <c r="O18" i="12" a="1"/>
  <c r="O18" i="12" s="1"/>
  <c r="N18" i="12" s="1"/>
  <c r="Z18" i="5"/>
  <c r="AB18" i="5" s="1" a="1"/>
  <c r="AB18" i="5" s="1"/>
  <c r="AM18" i="5"/>
  <c r="X20" i="5" a="1"/>
  <c r="X20" i="5" s="1"/>
  <c r="Z20" i="5" s="1"/>
  <c r="AB20" i="5" s="1" a="1"/>
  <c r="AB20" i="5" s="1"/>
  <c r="BC24" i="6" a="1"/>
  <c r="BC24" i="6" s="1"/>
  <c r="AM24" i="6"/>
  <c r="AU24" i="6"/>
  <c r="AO24" i="6"/>
  <c r="BF24" i="6" a="1"/>
  <c r="BF24" i="6" s="1"/>
  <c r="AX24" i="6" a="1"/>
  <c r="AX24" i="6" s="1"/>
  <c r="AZ24" i="6" a="1"/>
  <c r="AZ24" i="6" s="1"/>
  <c r="AV24" i="6"/>
  <c r="BD24" i="6" a="1"/>
  <c r="BD24" i="6" s="1"/>
  <c r="AE24" i="6"/>
  <c r="AK24" i="6"/>
  <c r="BA24" i="6" a="1"/>
  <c r="BA24" i="6" s="1"/>
  <c r="AN24" i="6"/>
  <c r="AF24" i="6"/>
  <c r="AQ24" i="6"/>
  <c r="AD24" i="6"/>
  <c r="AI24" i="6"/>
  <c r="AY24" i="6" a="1"/>
  <c r="AY24" i="6" s="1"/>
  <c r="AT24" i="6"/>
  <c r="AJ24" i="6"/>
  <c r="BB24" i="6" a="1"/>
  <c r="BB24" i="6" s="1"/>
  <c r="BG24" i="6" a="1"/>
  <c r="BG24" i="6" s="1"/>
  <c r="AP24" i="6"/>
  <c r="AS24" i="6"/>
  <c r="AH24" i="6"/>
  <c r="AG24" i="6"/>
  <c r="AC24" i="6"/>
  <c r="AB24" i="6"/>
  <c r="AR24" i="6"/>
  <c r="BE24" i="6" a="1"/>
  <c r="BE24" i="6" s="1"/>
  <c r="M25" i="6"/>
  <c r="X19" i="5" a="1"/>
  <c r="X19" i="5" s="1"/>
  <c r="M27" i="6"/>
  <c r="A28" i="6"/>
  <c r="A38" i="6"/>
  <c r="M26" i="6"/>
  <c r="I17" i="5"/>
  <c r="I18" i="5" s="1"/>
  <c r="J54" i="5"/>
  <c r="K54" i="5"/>
  <c r="K49" i="5"/>
  <c r="J49" i="5"/>
  <c r="K44" i="5"/>
  <c r="J44" i="5"/>
  <c r="K45" i="5"/>
  <c r="J45" i="5"/>
  <c r="K33" i="5"/>
  <c r="J33" i="5"/>
  <c r="J23" i="5"/>
  <c r="K23" i="5"/>
  <c r="J17" i="5"/>
  <c r="K17" i="5"/>
  <c r="F23" i="8" a="1"/>
  <c r="F23" i="8" s="1"/>
  <c r="F17" i="8" a="1"/>
  <c r="F17" i="8" s="1"/>
  <c r="F18" i="8" s="1"/>
  <c r="F20" i="8" a="1"/>
  <c r="F20" i="8" s="1"/>
  <c r="F29" i="8" a="1"/>
  <c r="F29" i="8" s="1"/>
  <c r="F26" i="8" a="1"/>
  <c r="F26" i="8" s="1"/>
  <c r="F14" i="8" a="1"/>
  <c r="F14" i="8" s="1"/>
  <c r="F15" i="8" s="1"/>
  <c r="F32" i="8" a="1"/>
  <c r="F32" i="8" s="1"/>
  <c r="F1" i="8" a="1"/>
  <c r="F1" i="8" s="1"/>
  <c r="F2" i="8" s="1"/>
  <c r="K16" i="5"/>
  <c r="J16" i="5"/>
  <c r="B12" i="11"/>
  <c r="A12" i="13"/>
  <c r="X22" i="5" l="1" a="1"/>
  <c r="X22" i="5" s="1"/>
  <c r="Y18" i="12"/>
  <c r="W18" i="12" s="1" a="1"/>
  <c r="W18" i="12" s="1"/>
  <c r="AM20" i="5"/>
  <c r="I20" i="12"/>
  <c r="O20" i="12" s="1" a="1"/>
  <c r="O20" i="12" s="1"/>
  <c r="L20" i="5"/>
  <c r="C20" i="6" s="1"/>
  <c r="I19" i="12"/>
  <c r="AM19" i="5"/>
  <c r="Z19" i="5"/>
  <c r="AB19" i="5" s="1" a="1"/>
  <c r="AB19" i="5" s="1"/>
  <c r="L19" i="5"/>
  <c r="C19" i="6" s="1"/>
  <c r="A39" i="6"/>
  <c r="N28" i="6"/>
  <c r="A29" i="6"/>
  <c r="M28" i="6"/>
  <c r="X24" i="5" a="1"/>
  <c r="X24" i="5" s="1"/>
  <c r="AR26" i="6"/>
  <c r="AJ26" i="6"/>
  <c r="AB26" i="6"/>
  <c r="BD26" i="6" a="1"/>
  <c r="BD26" i="6" s="1"/>
  <c r="AS26" i="6"/>
  <c r="BC26" i="6" a="1"/>
  <c r="BC26" i="6" s="1"/>
  <c r="AT26" i="6"/>
  <c r="BB26" i="6" a="1"/>
  <c r="BB26" i="6" s="1"/>
  <c r="AY26" i="6" a="1"/>
  <c r="AY26" i="6" s="1"/>
  <c r="AO26" i="6"/>
  <c r="AI26" i="6"/>
  <c r="AF26" i="6"/>
  <c r="AE26" i="6"/>
  <c r="AU26" i="6"/>
  <c r="AN26" i="6"/>
  <c r="AQ26" i="6"/>
  <c r="AK26" i="6"/>
  <c r="BF26" i="6" a="1"/>
  <c r="BF26" i="6" s="1"/>
  <c r="BG26" i="6" a="1"/>
  <c r="BG26" i="6" s="1"/>
  <c r="AP26" i="6"/>
  <c r="AG26" i="6"/>
  <c r="AX26" i="6" a="1"/>
  <c r="AX26" i="6" s="1"/>
  <c r="AC26" i="6"/>
  <c r="AZ26" i="6" a="1"/>
  <c r="AZ26" i="6" s="1"/>
  <c r="AM26" i="6"/>
  <c r="AH26" i="6"/>
  <c r="AV26" i="6"/>
  <c r="BE26" i="6" a="1"/>
  <c r="BE26" i="6" s="1"/>
  <c r="AD26" i="6"/>
  <c r="BA26" i="6" a="1"/>
  <c r="BA26" i="6" s="1"/>
  <c r="AM27" i="6"/>
  <c r="AU27" i="6"/>
  <c r="BD27" i="6" a="1"/>
  <c r="BD27" i="6" s="1"/>
  <c r="AQ27" i="6"/>
  <c r="AV27" i="6"/>
  <c r="AG27" i="6"/>
  <c r="AJ27" i="6"/>
  <c r="AN27" i="6"/>
  <c r="AX27" i="6" a="1"/>
  <c r="AX27" i="6" s="1"/>
  <c r="AY27" i="6" a="1"/>
  <c r="AY27" i="6" s="1"/>
  <c r="BA27" i="6" a="1"/>
  <c r="BA27" i="6" s="1"/>
  <c r="AF27" i="6"/>
  <c r="AC27" i="6"/>
  <c r="BF27" i="6" a="1"/>
  <c r="BF27" i="6" s="1"/>
  <c r="AO27" i="6"/>
  <c r="AD27" i="6"/>
  <c r="AP27" i="6"/>
  <c r="BE27" i="6" a="1"/>
  <c r="BE27" i="6" s="1"/>
  <c r="AE27" i="6"/>
  <c r="AZ27" i="6" a="1"/>
  <c r="AZ27" i="6" s="1"/>
  <c r="AR27" i="6"/>
  <c r="AS27" i="6"/>
  <c r="BG27" i="6" a="1"/>
  <c r="BG27" i="6" s="1"/>
  <c r="AH27" i="6"/>
  <c r="AK27" i="6"/>
  <c r="BB27" i="6" a="1"/>
  <c r="BB27" i="6" s="1"/>
  <c r="AI27" i="6"/>
  <c r="BC27" i="6" a="1"/>
  <c r="BC27" i="6" s="1"/>
  <c r="AT27" i="6"/>
  <c r="AB27" i="6"/>
  <c r="BE25" i="6" a="1"/>
  <c r="BE25" i="6" s="1"/>
  <c r="AT25" i="6"/>
  <c r="AZ25" i="6" a="1"/>
  <c r="AZ25" i="6" s="1"/>
  <c r="BF25" i="6" a="1"/>
  <c r="BF25" i="6" s="1"/>
  <c r="AV25" i="6"/>
  <c r="AC25" i="6"/>
  <c r="AE25" i="6"/>
  <c r="AN25" i="6"/>
  <c r="BD25" i="6" a="1"/>
  <c r="BD25" i="6" s="1"/>
  <c r="BC25" i="6" a="1"/>
  <c r="BC25" i="6" s="1"/>
  <c r="AI25" i="6"/>
  <c r="AD25" i="6"/>
  <c r="AU25" i="6"/>
  <c r="AS25" i="6"/>
  <c r="AG25" i="6"/>
  <c r="AP25" i="6"/>
  <c r="BG25" i="6" a="1"/>
  <c r="BG25" i="6" s="1"/>
  <c r="AH25" i="6"/>
  <c r="AR25" i="6"/>
  <c r="AX25" i="6" a="1"/>
  <c r="AX25" i="6" s="1"/>
  <c r="AY25" i="6" a="1"/>
  <c r="AY25" i="6" s="1"/>
  <c r="BB25" i="6" a="1"/>
  <c r="BB25" i="6" s="1"/>
  <c r="AB25" i="6"/>
  <c r="AF25" i="6"/>
  <c r="AQ25" i="6"/>
  <c r="BA25" i="6" a="1"/>
  <c r="BA25" i="6" s="1"/>
  <c r="AJ25" i="6"/>
  <c r="AO25" i="6"/>
  <c r="AM25" i="6"/>
  <c r="AK25" i="6"/>
  <c r="I19" i="5"/>
  <c r="X18" i="12" a="1"/>
  <c r="X18" i="12" s="1"/>
  <c r="O18" i="5"/>
  <c r="D18" i="12" s="1"/>
  <c r="T18" i="12"/>
  <c r="V18" i="12" a="1"/>
  <c r="V18" i="12" s="1"/>
  <c r="U18" i="12"/>
  <c r="D54" i="5"/>
  <c r="D49" i="5"/>
  <c r="B49" i="12" s="1"/>
  <c r="D44" i="5"/>
  <c r="B44" i="12" s="1"/>
  <c r="D45" i="5"/>
  <c r="B45" i="12" s="1"/>
  <c r="D33" i="5"/>
  <c r="D23" i="5"/>
  <c r="D17" i="5"/>
  <c r="J14" i="8"/>
  <c r="M14" i="8"/>
  <c r="Q14" i="8" s="1"/>
  <c r="B12" i="13"/>
  <c r="AM12" i="13" s="1" a="1"/>
  <c r="AM12" i="13" s="1"/>
  <c r="C12" i="13"/>
  <c r="O12" i="11" a="1"/>
  <c r="O12" i="11" s="1"/>
  <c r="AA12" i="11" a="1"/>
  <c r="AA12" i="11" s="1"/>
  <c r="AB12" i="11" a="1"/>
  <c r="AB12" i="11" s="1"/>
  <c r="N12" i="11" s="1"/>
  <c r="K12" i="11" a="1"/>
  <c r="K12" i="11" s="1"/>
  <c r="J12" i="13" s="1"/>
  <c r="G12" i="11"/>
  <c r="F12" i="13" s="1"/>
  <c r="J17" i="8"/>
  <c r="M17" i="8"/>
  <c r="P17" i="8" s="1"/>
  <c r="N1" i="8"/>
  <c r="M1" i="8"/>
  <c r="O1" i="8"/>
  <c r="Q1" i="8"/>
  <c r="J1" i="8"/>
  <c r="P1" i="8"/>
  <c r="I1" i="8"/>
  <c r="S1" i="8"/>
  <c r="D16" i="5"/>
  <c r="F10" i="8" a="1"/>
  <c r="F10" i="8" s="1"/>
  <c r="B54" i="12" l="1"/>
  <c r="X21" i="5" a="1"/>
  <c r="X21" i="5" s="1"/>
  <c r="L22" i="5"/>
  <c r="C22" i="6" s="1"/>
  <c r="AM22" i="5"/>
  <c r="Z22" i="5"/>
  <c r="AB22" i="5" s="1" a="1"/>
  <c r="AB22" i="5" s="1"/>
  <c r="AB21" i="5" s="1" a="1"/>
  <c r="AB21" i="5" s="1"/>
  <c r="I22" i="12"/>
  <c r="M20" i="12" a="1"/>
  <c r="M20" i="12" s="1"/>
  <c r="N20" i="12" s="1"/>
  <c r="C20" i="12"/>
  <c r="AO20" i="12" a="1"/>
  <c r="AO20" i="12" s="1"/>
  <c r="Y20" i="12" s="1"/>
  <c r="W20" i="12" s="1" a="1"/>
  <c r="W20" i="12" s="1"/>
  <c r="T20" i="12" s="1"/>
  <c r="X26" i="5" a="1"/>
  <c r="X26" i="5" s="1"/>
  <c r="AM24" i="5"/>
  <c r="I24" i="12"/>
  <c r="Z24" i="5"/>
  <c r="AB24" i="5" s="1" a="1"/>
  <c r="AB24" i="5" s="1"/>
  <c r="L24" i="5"/>
  <c r="C24" i="6" s="1"/>
  <c r="N39" i="6"/>
  <c r="A40" i="6"/>
  <c r="X27" i="5" a="1"/>
  <c r="X27" i="5" s="1"/>
  <c r="AQ28" i="6"/>
  <c r="AG28" i="6"/>
  <c r="AX28" i="6" a="1"/>
  <c r="AX28" i="6" s="1"/>
  <c r="BA28" i="6" a="1"/>
  <c r="BA28" i="6" s="1"/>
  <c r="AK28" i="6"/>
  <c r="BF28" i="6" a="1"/>
  <c r="BF28" i="6" s="1"/>
  <c r="AD28" i="6"/>
  <c r="AO28" i="6"/>
  <c r="BD28" i="6" a="1"/>
  <c r="BD28" i="6" s="1"/>
  <c r="AP28" i="6"/>
  <c r="AC28" i="6"/>
  <c r="AV28" i="6"/>
  <c r="AN28" i="6"/>
  <c r="AT28" i="6"/>
  <c r="BB28" i="6" a="1"/>
  <c r="BB28" i="6" s="1"/>
  <c r="AF28" i="6"/>
  <c r="AU28" i="6"/>
  <c r="AE28" i="6"/>
  <c r="AZ28" i="6" a="1"/>
  <c r="AZ28" i="6" s="1"/>
  <c r="AH28" i="6"/>
  <c r="AS28" i="6"/>
  <c r="BG28" i="6" a="1"/>
  <c r="BG28" i="6" s="1"/>
  <c r="BC28" i="6" a="1"/>
  <c r="BC28" i="6" s="1"/>
  <c r="AI28" i="6"/>
  <c r="AR28" i="6"/>
  <c r="AM28" i="6"/>
  <c r="AB28" i="6"/>
  <c r="AY28" i="6" a="1"/>
  <c r="AY28" i="6" s="1"/>
  <c r="AJ28" i="6"/>
  <c r="BE28" i="6" a="1"/>
  <c r="BE28" i="6" s="1"/>
  <c r="X25" i="5" a="1"/>
  <c r="X25" i="5" s="1"/>
  <c r="A30" i="6"/>
  <c r="M29" i="6"/>
  <c r="N29" i="6"/>
  <c r="AO19" i="12" a="1"/>
  <c r="AO19" i="12" s="1"/>
  <c r="M19" i="12" a="1"/>
  <c r="M19" i="12" s="1"/>
  <c r="O19" i="12" a="1"/>
  <c r="O19" i="12" s="1"/>
  <c r="C19" i="12"/>
  <c r="I20" i="5"/>
  <c r="O19" i="5"/>
  <c r="I23" i="5"/>
  <c r="I24" i="5" s="1"/>
  <c r="E18" i="6"/>
  <c r="B33" i="12"/>
  <c r="B23" i="12"/>
  <c r="B17" i="12"/>
  <c r="AH12" i="13"/>
  <c r="Q17" i="8"/>
  <c r="O12" i="13"/>
  <c r="K12" i="13" a="1"/>
  <c r="K12" i="13" s="1"/>
  <c r="R12" i="13"/>
  <c r="S12" i="13"/>
  <c r="M12" i="13"/>
  <c r="U12" i="13"/>
  <c r="T12" i="13"/>
  <c r="O14" i="8"/>
  <c r="S19" i="8"/>
  <c r="F21" i="8"/>
  <c r="S3" i="8"/>
  <c r="A1" i="8"/>
  <c r="R1" i="8"/>
  <c r="G1" i="8"/>
  <c r="G2" i="8" s="1" a="1"/>
  <c r="G2" i="8" s="1"/>
  <c r="H1" i="8" a="1"/>
  <c r="H1" i="8" s="1"/>
  <c r="J2" i="8" s="1"/>
  <c r="H2" i="8" a="1"/>
  <c r="H2" i="8" s="1"/>
  <c r="A14" i="8"/>
  <c r="S16" i="8"/>
  <c r="B16" i="12"/>
  <c r="B14" i="13"/>
  <c r="D15" i="5"/>
  <c r="C12" i="11"/>
  <c r="P12" i="11"/>
  <c r="Z12" i="11"/>
  <c r="L12" i="13"/>
  <c r="AE12" i="13"/>
  <c r="P14" i="8"/>
  <c r="M22" i="12" l="1" a="1"/>
  <c r="M22" i="12" s="1"/>
  <c r="M21" i="12" s="1" a="1"/>
  <c r="M21" i="12" s="1"/>
  <c r="AO22" i="12" a="1"/>
  <c r="AO22" i="12" s="1"/>
  <c r="C22" i="12"/>
  <c r="O22" i="12" a="1"/>
  <c r="O22" i="12" s="1"/>
  <c r="L21" i="5"/>
  <c r="Z21" i="5"/>
  <c r="I21" i="12"/>
  <c r="AM21" i="5"/>
  <c r="O20" i="5"/>
  <c r="E20" i="6" s="1"/>
  <c r="I21" i="5"/>
  <c r="I22" i="5" s="1"/>
  <c r="O22" i="5" s="1"/>
  <c r="U20" i="12"/>
  <c r="V20" i="12" a="1"/>
  <c r="V20" i="12" s="1"/>
  <c r="X20" i="12" a="1"/>
  <c r="X20" i="12" s="1"/>
  <c r="Y19" i="12"/>
  <c r="X19" i="12" s="1" a="1"/>
  <c r="X19" i="12" s="1"/>
  <c r="N19" i="12"/>
  <c r="C24" i="12"/>
  <c r="O24" i="12" a="1"/>
  <c r="O24" i="12" s="1"/>
  <c r="AO24" i="12" a="1"/>
  <c r="AO24" i="12" s="1"/>
  <c r="M24" i="12" a="1"/>
  <c r="M24" i="12" s="1"/>
  <c r="N30" i="6"/>
  <c r="A31" i="6"/>
  <c r="M30" i="6"/>
  <c r="L25" i="5"/>
  <c r="C25" i="6" s="1"/>
  <c r="AM25" i="5"/>
  <c r="I25" i="12"/>
  <c r="Z25" i="5"/>
  <c r="AB25" i="5" s="1" a="1"/>
  <c r="AB25" i="5" s="1"/>
  <c r="X28" i="5" a="1"/>
  <c r="X28" i="5" s="1"/>
  <c r="AM27" i="5"/>
  <c r="Z27" i="5"/>
  <c r="AB27" i="5" s="1" a="1"/>
  <c r="AB27" i="5" s="1"/>
  <c r="I27" i="12"/>
  <c r="L27" i="5"/>
  <c r="C27" i="6" s="1"/>
  <c r="Z26" i="5"/>
  <c r="AB26" i="5" s="1" a="1"/>
  <c r="AB26" i="5" s="1"/>
  <c r="I26" i="12"/>
  <c r="L26" i="5"/>
  <c r="C26" i="6" s="1"/>
  <c r="AM26" i="5"/>
  <c r="AQ29" i="6"/>
  <c r="AS29" i="6"/>
  <c r="BB29" i="6" a="1"/>
  <c r="BB29" i="6" s="1"/>
  <c r="BE29" i="6" a="1"/>
  <c r="BE29" i="6" s="1"/>
  <c r="BC29" i="6" a="1"/>
  <c r="BC29" i="6" s="1"/>
  <c r="AH29" i="6"/>
  <c r="AD29" i="6"/>
  <c r="AY29" i="6" a="1"/>
  <c r="AY29" i="6" s="1"/>
  <c r="AO29" i="6"/>
  <c r="AV29" i="6"/>
  <c r="AP29" i="6"/>
  <c r="AZ29" i="6" a="1"/>
  <c r="AZ29" i="6" s="1"/>
  <c r="AB29" i="6"/>
  <c r="AC29" i="6"/>
  <c r="AT29" i="6"/>
  <c r="AR29" i="6"/>
  <c r="AF29" i="6"/>
  <c r="AG29" i="6"/>
  <c r="BD29" i="6" a="1"/>
  <c r="BD29" i="6" s="1"/>
  <c r="BA29" i="6" a="1"/>
  <c r="BA29" i="6" s="1"/>
  <c r="AN29" i="6"/>
  <c r="AE29" i="6"/>
  <c r="AU29" i="6"/>
  <c r="BG29" i="6" a="1"/>
  <c r="BG29" i="6" s="1"/>
  <c r="AM29" i="6"/>
  <c r="AX29" i="6" a="1"/>
  <c r="AX29" i="6" s="1"/>
  <c r="AI29" i="6"/>
  <c r="AK29" i="6"/>
  <c r="BF29" i="6" a="1"/>
  <c r="BF29" i="6" s="1"/>
  <c r="AJ29" i="6"/>
  <c r="A41" i="6"/>
  <c r="N40" i="6"/>
  <c r="D19" i="12"/>
  <c r="E19" i="6"/>
  <c r="D20" i="12"/>
  <c r="I25" i="5"/>
  <c r="O24" i="5"/>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P12" i="13"/>
  <c r="N12" i="13"/>
  <c r="M20" i="8"/>
  <c r="D12" i="13"/>
  <c r="V12" i="13"/>
  <c r="O21" i="12" l="1" a="1"/>
  <c r="O21" i="12" s="1"/>
  <c r="N21" i="12" s="1"/>
  <c r="N22" i="12"/>
  <c r="J21" i="12" a="1"/>
  <c r="J21" i="12" s="1"/>
  <c r="C21" i="12"/>
  <c r="L21" i="12" a="1"/>
  <c r="L21" i="12" s="1"/>
  <c r="AO21" i="12" a="1"/>
  <c r="AO21" i="12" s="1"/>
  <c r="Y21" i="12" s="1"/>
  <c r="Y22" i="12"/>
  <c r="C21" i="6"/>
  <c r="AC21" i="5" a="1"/>
  <c r="AC21" i="5" s="1"/>
  <c r="O21" i="5"/>
  <c r="D22" i="12"/>
  <c r="E22" i="6"/>
  <c r="W19" i="12" a="1"/>
  <c r="W19" i="12" s="1"/>
  <c r="V19" i="12" s="1" a="1"/>
  <c r="V19" i="12" s="1"/>
  <c r="X29" i="5" a="1"/>
  <c r="X29" i="5" s="1"/>
  <c r="I29" i="12" s="1"/>
  <c r="AM28" i="5"/>
  <c r="L28" i="5"/>
  <c r="C28" i="6" s="1"/>
  <c r="I28" i="12"/>
  <c r="Z28" i="5"/>
  <c r="AB28" i="5" s="1" a="1"/>
  <c r="AB28" i="5" s="1"/>
  <c r="BG30" i="6" a="1"/>
  <c r="BG30" i="6" s="1"/>
  <c r="AZ30" i="6" a="1"/>
  <c r="AZ30" i="6" s="1"/>
  <c r="AF30" i="6"/>
  <c r="AB30" i="6"/>
  <c r="AV30" i="6"/>
  <c r="BC30" i="6" a="1"/>
  <c r="BC30" i="6" s="1"/>
  <c r="AO30" i="6"/>
  <c r="AR30" i="6"/>
  <c r="AQ30" i="6"/>
  <c r="BB30" i="6" a="1"/>
  <c r="BB30" i="6" s="1"/>
  <c r="AG30" i="6"/>
  <c r="AI30" i="6"/>
  <c r="BD30" i="6" a="1"/>
  <c r="BD30" i="6" s="1"/>
  <c r="AK30" i="6"/>
  <c r="AY30" i="6" a="1"/>
  <c r="AY30" i="6" s="1"/>
  <c r="AC30" i="6"/>
  <c r="AP30" i="6"/>
  <c r="AJ30" i="6"/>
  <c r="AS30" i="6"/>
  <c r="AE30" i="6"/>
  <c r="BE30" i="6" a="1"/>
  <c r="BE30" i="6" s="1"/>
  <c r="AX30" i="6" a="1"/>
  <c r="AX30" i="6" s="1"/>
  <c r="AU30" i="6"/>
  <c r="BA30" i="6" a="1"/>
  <c r="BA30" i="6" s="1"/>
  <c r="AD30" i="6"/>
  <c r="AH30" i="6"/>
  <c r="AM30" i="6"/>
  <c r="AN30" i="6"/>
  <c r="BF30" i="6" a="1"/>
  <c r="BF30" i="6" s="1"/>
  <c r="AT30" i="6"/>
  <c r="Y24" i="12"/>
  <c r="A42" i="6"/>
  <c r="N41" i="6"/>
  <c r="M27" i="12" a="1"/>
  <c r="M27" i="12" s="1"/>
  <c r="O27" i="12" a="1"/>
  <c r="O27" i="12" s="1"/>
  <c r="AO27" i="12" a="1"/>
  <c r="AO27" i="12" s="1"/>
  <c r="C27" i="12"/>
  <c r="A32" i="6"/>
  <c r="M31" i="6"/>
  <c r="N31" i="6"/>
  <c r="N24" i="12"/>
  <c r="C26" i="12"/>
  <c r="M26" i="12" a="1"/>
  <c r="M26" i="12" s="1"/>
  <c r="O26" i="12" a="1"/>
  <c r="O26" i="12" s="1"/>
  <c r="AO26" i="12" a="1"/>
  <c r="AO26" i="12" s="1"/>
  <c r="AO25" i="12" a="1"/>
  <c r="AO25" i="12" s="1"/>
  <c r="C25" i="12"/>
  <c r="O25" i="12" a="1"/>
  <c r="O25" i="12" s="1"/>
  <c r="M25" i="12" a="1"/>
  <c r="M25" i="12" s="1"/>
  <c r="E24" i="6"/>
  <c r="D24" i="12"/>
  <c r="I26" i="5"/>
  <c r="O25" i="5"/>
  <c r="Q20" i="8"/>
  <c r="S22" i="8"/>
  <c r="F24" i="8"/>
  <c r="P20" i="8"/>
  <c r="K21" i="12" l="1"/>
  <c r="X22" i="12" a="1"/>
  <c r="X22" i="12" s="1"/>
  <c r="W22" i="12" a="1"/>
  <c r="W22" i="12" s="1"/>
  <c r="D21" i="12"/>
  <c r="E21" i="6"/>
  <c r="X21" i="12" a="1"/>
  <c r="X21" i="12" s="1"/>
  <c r="W21" i="12" a="1"/>
  <c r="W21" i="12" s="1"/>
  <c r="Y27" i="12"/>
  <c r="W27" i="12" s="1" a="1"/>
  <c r="W27" i="12" s="1"/>
  <c r="T19" i="12"/>
  <c r="U19" i="12"/>
  <c r="L29" i="5"/>
  <c r="C29" i="6" s="1"/>
  <c r="AM29" i="5"/>
  <c r="Z29" i="5"/>
  <c r="AB29" i="5" s="1" a="1"/>
  <c r="AB29" i="5" s="1"/>
  <c r="Y25" i="12"/>
  <c r="X25" i="12" s="1" a="1"/>
  <c r="X25" i="12" s="1"/>
  <c r="Y26" i="12"/>
  <c r="W26" i="12" s="1" a="1"/>
  <c r="W26" i="12" s="1"/>
  <c r="N27" i="12"/>
  <c r="A43" i="6"/>
  <c r="N42" i="6"/>
  <c r="AS31" i="6"/>
  <c r="BF31" i="6" a="1"/>
  <c r="BF31" i="6" s="1"/>
  <c r="AY31" i="6" a="1"/>
  <c r="AY31" i="6" s="1"/>
  <c r="BD31" i="6" a="1"/>
  <c r="BD31" i="6" s="1"/>
  <c r="AP31" i="6"/>
  <c r="AB31" i="6"/>
  <c r="AC31" i="6"/>
  <c r="AE31" i="6"/>
  <c r="AO31" i="6"/>
  <c r="AR31" i="6"/>
  <c r="BG31" i="6" a="1"/>
  <c r="BG31" i="6" s="1"/>
  <c r="AK31" i="6"/>
  <c r="BE31" i="6" a="1"/>
  <c r="BE31" i="6" s="1"/>
  <c r="AN31" i="6"/>
  <c r="AV31" i="6"/>
  <c r="AT31" i="6"/>
  <c r="AU31" i="6"/>
  <c r="AF31" i="6"/>
  <c r="AG31" i="6"/>
  <c r="AI31" i="6"/>
  <c r="AX31" i="6" a="1"/>
  <c r="AX31" i="6" s="1"/>
  <c r="AQ31" i="6"/>
  <c r="AJ31" i="6"/>
  <c r="BC31" i="6" a="1"/>
  <c r="BC31" i="6" s="1"/>
  <c r="AD31" i="6"/>
  <c r="BA31" i="6" a="1"/>
  <c r="BA31" i="6" s="1"/>
  <c r="BB31" i="6" a="1"/>
  <c r="BB31" i="6" s="1"/>
  <c r="AZ31" i="6" a="1"/>
  <c r="AZ31" i="6" s="1"/>
  <c r="AM31" i="6"/>
  <c r="AH31" i="6"/>
  <c r="X30" i="5" a="1"/>
  <c r="X30" i="5" s="1"/>
  <c r="M32" i="6"/>
  <c r="N32" i="6"/>
  <c r="W24" i="12" a="1"/>
  <c r="W24" i="12" s="1"/>
  <c r="X24" i="12" a="1"/>
  <c r="X24" i="12" s="1"/>
  <c r="M28" i="12" a="1"/>
  <c r="M28" i="12" s="1"/>
  <c r="AO28" i="12" a="1"/>
  <c r="AO28" i="12" s="1"/>
  <c r="C28" i="12"/>
  <c r="O28" i="12" a="1"/>
  <c r="O28" i="12" s="1"/>
  <c r="N25" i="12"/>
  <c r="N26" i="12"/>
  <c r="O29" i="12" a="1"/>
  <c r="O29" i="12" s="1"/>
  <c r="M29" i="12" a="1"/>
  <c r="M29" i="12" s="1"/>
  <c r="AO29" i="12" a="1"/>
  <c r="AO29" i="12" s="1"/>
  <c r="C29" i="12"/>
  <c r="D25" i="12"/>
  <c r="E25" i="6"/>
  <c r="I27" i="5"/>
  <c r="I28" i="5" s="1"/>
  <c r="O26" i="5"/>
  <c r="M23" i="8"/>
  <c r="J23" i="8"/>
  <c r="M34" i="6" l="1"/>
  <c r="AB34" i="6" s="1"/>
  <c r="X27" i="12" a="1"/>
  <c r="X27" i="12" s="1"/>
  <c r="V21" i="12" a="1"/>
  <c r="V21" i="12" s="1"/>
  <c r="T21" i="12"/>
  <c r="U21" i="12"/>
  <c r="T22" i="12"/>
  <c r="U22" i="12"/>
  <c r="V22" i="12" a="1"/>
  <c r="V22" i="12" s="1"/>
  <c r="X26" i="12" a="1"/>
  <c r="X26" i="12" s="1"/>
  <c r="Y28" i="12"/>
  <c r="W28" i="12" s="1" a="1"/>
  <c r="W28" i="12" s="1"/>
  <c r="W25" i="12" a="1"/>
  <c r="W25" i="12" s="1"/>
  <c r="T25" i="12" s="1"/>
  <c r="Y29" i="12"/>
  <c r="W29" i="12" s="1" a="1"/>
  <c r="W29" i="12" s="1"/>
  <c r="AP34" i="6"/>
  <c r="AR34" i="6"/>
  <c r="AE34" i="6"/>
  <c r="AY34" i="6" a="1"/>
  <c r="AY34" i="6" s="1"/>
  <c r="BD34" i="6" a="1"/>
  <c r="BD34" i="6" s="1"/>
  <c r="AC34" i="6"/>
  <c r="AU34" i="6"/>
  <c r="AH34" i="6"/>
  <c r="AG34" i="6"/>
  <c r="AM34" i="6"/>
  <c r="AS34" i="6"/>
  <c r="AN34" i="6"/>
  <c r="AZ34" i="6" a="1"/>
  <c r="AZ34" i="6" s="1"/>
  <c r="AX34" i="6" a="1"/>
  <c r="AX34" i="6" s="1"/>
  <c r="AJ34" i="6"/>
  <c r="AF34" i="6"/>
  <c r="AK34" i="6"/>
  <c r="AT34" i="6"/>
  <c r="AI34" i="6"/>
  <c r="BB34" i="6" a="1"/>
  <c r="BB34" i="6" s="1"/>
  <c r="BE34" i="6" a="1"/>
  <c r="BE34" i="6" s="1"/>
  <c r="AQ34" i="6"/>
  <c r="BA34" i="6" a="1"/>
  <c r="BA34" i="6" s="1"/>
  <c r="BF34" i="6" a="1"/>
  <c r="BF34" i="6" s="1"/>
  <c r="AO34" i="6"/>
  <c r="BC34" i="6" a="1"/>
  <c r="BC34" i="6" s="1"/>
  <c r="AD34" i="6"/>
  <c r="BG34" i="6" a="1"/>
  <c r="BG34" i="6" s="1"/>
  <c r="M36" i="6"/>
  <c r="M41" i="6"/>
  <c r="M40" i="6"/>
  <c r="M38" i="6"/>
  <c r="M37" i="6"/>
  <c r="M42" i="6"/>
  <c r="M39" i="6"/>
  <c r="M35" i="6"/>
  <c r="N29" i="12"/>
  <c r="X31" i="5" a="1"/>
  <c r="X31" i="5" s="1"/>
  <c r="N28" i="12"/>
  <c r="U26" i="12"/>
  <c r="T26" i="12"/>
  <c r="V26" i="12" a="1"/>
  <c r="V26" i="12" s="1"/>
  <c r="N43" i="6"/>
  <c r="M43" i="6"/>
  <c r="V27" i="12" a="1"/>
  <c r="V27" i="12" s="1"/>
  <c r="U27" i="12"/>
  <c r="T27" i="12"/>
  <c r="T24" i="12"/>
  <c r="U24" i="12"/>
  <c r="V24" i="12" a="1"/>
  <c r="V24" i="12" s="1"/>
  <c r="AP32" i="6"/>
  <c r="AV32" i="6"/>
  <c r="AQ32" i="6"/>
  <c r="BF32" i="6" a="1"/>
  <c r="BF32" i="6" s="1"/>
  <c r="BE32" i="6" a="1"/>
  <c r="BE32" i="6" s="1"/>
  <c r="AB32" i="6"/>
  <c r="AC32" i="6"/>
  <c r="BB32" i="6" a="1"/>
  <c r="BB32" i="6" s="1"/>
  <c r="BD32" i="6" a="1"/>
  <c r="BD32" i="6" s="1"/>
  <c r="AO32" i="6"/>
  <c r="AJ32" i="6"/>
  <c r="AU32" i="6"/>
  <c r="BC32" i="6" a="1"/>
  <c r="BC32" i="6" s="1"/>
  <c r="AI32" i="6"/>
  <c r="AY32" i="6" a="1"/>
  <c r="AY32" i="6" s="1"/>
  <c r="AR32" i="6"/>
  <c r="BG32" i="6" a="1"/>
  <c r="BG32" i="6" s="1"/>
  <c r="BA32" i="6" a="1"/>
  <c r="BA32" i="6" s="1"/>
  <c r="AZ32" i="6" a="1"/>
  <c r="AZ32" i="6" s="1"/>
  <c r="AF32" i="6"/>
  <c r="AG32" i="6"/>
  <c r="AS32" i="6"/>
  <c r="AM32" i="6"/>
  <c r="AE32" i="6"/>
  <c r="AK32" i="6"/>
  <c r="AT32" i="6"/>
  <c r="AN32" i="6"/>
  <c r="AX32" i="6" a="1"/>
  <c r="AX32" i="6" s="1"/>
  <c r="AH32" i="6"/>
  <c r="AD32" i="6"/>
  <c r="L30" i="5"/>
  <c r="C30" i="6" s="1"/>
  <c r="I30" i="12"/>
  <c r="Z30" i="5"/>
  <c r="AB30" i="5" s="1" a="1"/>
  <c r="AB30" i="5" s="1"/>
  <c r="AM30" i="5"/>
  <c r="I29" i="5"/>
  <c r="O28" i="5"/>
  <c r="D26" i="12"/>
  <c r="E26" i="6"/>
  <c r="I33" i="5"/>
  <c r="O27" i="5"/>
  <c r="Q23" i="8"/>
  <c r="P23" i="8"/>
  <c r="S25" i="8"/>
  <c r="F27" i="8"/>
  <c r="AV34" i="6" l="1"/>
  <c r="U25" i="12"/>
  <c r="V25" i="12" a="1"/>
  <c r="V25" i="12" s="1"/>
  <c r="X29" i="12" a="1"/>
  <c r="X29" i="12" s="1"/>
  <c r="X28" i="12" a="1"/>
  <c r="X28" i="12" s="1"/>
  <c r="AU41" i="6"/>
  <c r="AO41" i="6"/>
  <c r="BB41" i="6" a="1"/>
  <c r="BB41" i="6" s="1"/>
  <c r="AM41" i="6"/>
  <c r="AP41" i="6"/>
  <c r="AC41" i="6"/>
  <c r="AE41" i="6"/>
  <c r="BG41" i="6" a="1"/>
  <c r="BG41" i="6" s="1"/>
  <c r="AQ41" i="6"/>
  <c r="AT41" i="6"/>
  <c r="AF41" i="6"/>
  <c r="AK41" i="6"/>
  <c r="BA41" i="6" a="1"/>
  <c r="BA41" i="6" s="1"/>
  <c r="BD41" i="6" a="1"/>
  <c r="BD41" i="6" s="1"/>
  <c r="BE41" i="6" a="1"/>
  <c r="BE41" i="6" s="1"/>
  <c r="AB41" i="6"/>
  <c r="AN41" i="6"/>
  <c r="AY41" i="6" a="1"/>
  <c r="AY41" i="6" s="1"/>
  <c r="BF41" i="6" a="1"/>
  <c r="BF41" i="6" s="1"/>
  <c r="AR41" i="6"/>
  <c r="AX41" i="6" a="1"/>
  <c r="AX41" i="6" s="1"/>
  <c r="AG41" i="6"/>
  <c r="AJ41" i="6"/>
  <c r="AZ41" i="6" a="1"/>
  <c r="AZ41" i="6" s="1"/>
  <c r="AS41" i="6"/>
  <c r="AD41" i="6"/>
  <c r="BC41" i="6" a="1"/>
  <c r="BC41" i="6" s="1"/>
  <c r="AV41" i="6"/>
  <c r="AI41" i="6"/>
  <c r="AH41" i="6"/>
  <c r="O30" i="12" a="1"/>
  <c r="O30" i="12" s="1"/>
  <c r="AO30" i="12" a="1"/>
  <c r="AO30" i="12" s="1"/>
  <c r="M30" i="12" a="1"/>
  <c r="M30" i="12" s="1"/>
  <c r="C30" i="12"/>
  <c r="U29" i="12"/>
  <c r="T29" i="12"/>
  <c r="V29" i="12" a="1"/>
  <c r="V29" i="12" s="1"/>
  <c r="M45" i="6"/>
  <c r="BF43" i="6" a="1"/>
  <c r="BF43" i="6" s="1"/>
  <c r="AQ43" i="6"/>
  <c r="BE43" i="6" a="1"/>
  <c r="BE43" i="6" s="1"/>
  <c r="BB43" i="6" a="1"/>
  <c r="BB43" i="6" s="1"/>
  <c r="AY43" i="6" a="1"/>
  <c r="AY43" i="6" s="1"/>
  <c r="AC43" i="6"/>
  <c r="AD43" i="6"/>
  <c r="AI43" i="6"/>
  <c r="AV43" i="6"/>
  <c r="AX43" i="6" a="1"/>
  <c r="AX43" i="6" s="1"/>
  <c r="AN43" i="6"/>
  <c r="AJ43" i="6"/>
  <c r="AZ43" i="6" a="1"/>
  <c r="AZ43" i="6" s="1"/>
  <c r="BD43" i="6" a="1"/>
  <c r="BD43" i="6" s="1"/>
  <c r="BC43" i="6" a="1"/>
  <c r="BC43" i="6" s="1"/>
  <c r="AE43" i="6"/>
  <c r="BA43" i="6" a="1"/>
  <c r="BA43" i="6" s="1"/>
  <c r="AR43" i="6"/>
  <c r="AO43" i="6"/>
  <c r="AS43" i="6"/>
  <c r="BG43" i="6" a="1"/>
  <c r="BG43" i="6" s="1"/>
  <c r="AG43" i="6"/>
  <c r="AH43" i="6"/>
  <c r="AF43" i="6"/>
  <c r="AM43" i="6"/>
  <c r="AT43" i="6"/>
  <c r="AK43" i="6"/>
  <c r="AU43" i="6"/>
  <c r="AP43" i="6"/>
  <c r="AB43" i="6"/>
  <c r="U28" i="12"/>
  <c r="T28" i="12"/>
  <c r="V28" i="12" a="1"/>
  <c r="V28" i="12" s="1"/>
  <c r="BG37" i="6" a="1"/>
  <c r="BG37" i="6" s="1"/>
  <c r="BA37" i="6" a="1"/>
  <c r="BA37" i="6" s="1"/>
  <c r="AG37" i="6"/>
  <c r="AD37" i="6"/>
  <c r="AK37" i="6"/>
  <c r="AC37" i="6"/>
  <c r="AV37" i="6"/>
  <c r="BB37" i="6" a="1"/>
  <c r="BB37" i="6" s="1"/>
  <c r="AM37" i="6"/>
  <c r="BE37" i="6" a="1"/>
  <c r="BE37" i="6" s="1"/>
  <c r="AY37" i="6" a="1"/>
  <c r="AY37" i="6" s="1"/>
  <c r="AF37" i="6"/>
  <c r="AP37" i="6"/>
  <c r="AQ37" i="6"/>
  <c r="BF37" i="6" a="1"/>
  <c r="BF37" i="6" s="1"/>
  <c r="AO37" i="6"/>
  <c r="AR37" i="6"/>
  <c r="AN37" i="6"/>
  <c r="AZ37" i="6" a="1"/>
  <c r="AZ37" i="6" s="1"/>
  <c r="AT37" i="6"/>
  <c r="BD37" i="6" a="1"/>
  <c r="BD37" i="6" s="1"/>
  <c r="AE37" i="6"/>
  <c r="AH37" i="6"/>
  <c r="AI37" i="6"/>
  <c r="BC37" i="6" a="1"/>
  <c r="BC37" i="6" s="1"/>
  <c r="AB37" i="6"/>
  <c r="AS37" i="6"/>
  <c r="AU37" i="6"/>
  <c r="AX37" i="6" a="1"/>
  <c r="AX37" i="6" s="1"/>
  <c r="AJ37" i="6"/>
  <c r="BE36" i="6" a="1"/>
  <c r="BE36" i="6" s="1"/>
  <c r="AU36" i="6"/>
  <c r="AY36" i="6" a="1"/>
  <c r="AY36" i="6" s="1"/>
  <c r="AS36" i="6"/>
  <c r="BD36" i="6" a="1"/>
  <c r="BD36" i="6" s="1"/>
  <c r="AR36" i="6"/>
  <c r="BA36" i="6" a="1"/>
  <c r="BA36" i="6" s="1"/>
  <c r="AT36" i="6"/>
  <c r="AM36" i="6"/>
  <c r="AN36" i="6"/>
  <c r="AX36" i="6" a="1"/>
  <c r="AX36" i="6" s="1"/>
  <c r="AZ36" i="6" a="1"/>
  <c r="AZ36" i="6" s="1"/>
  <c r="AQ36" i="6"/>
  <c r="BF36" i="6" a="1"/>
  <c r="BF36" i="6" s="1"/>
  <c r="BG36" i="6" a="1"/>
  <c r="BG36" i="6" s="1"/>
  <c r="AV36" i="6"/>
  <c r="AP36" i="6"/>
  <c r="AO36" i="6"/>
  <c r="BB36" i="6" a="1"/>
  <c r="BB36" i="6" s="1"/>
  <c r="BC36" i="6" a="1"/>
  <c r="BC36" i="6" s="1"/>
  <c r="AE36" i="6"/>
  <c r="AI36" i="6"/>
  <c r="AK36" i="6"/>
  <c r="AD36" i="6"/>
  <c r="AB36" i="6"/>
  <c r="AF36" i="6"/>
  <c r="AJ36" i="6"/>
  <c r="AC36" i="6"/>
  <c r="AG36" i="6"/>
  <c r="AH36" i="6"/>
  <c r="I31" i="12"/>
  <c r="L31" i="5"/>
  <c r="C31" i="6" s="1"/>
  <c r="AM31" i="5"/>
  <c r="Z31" i="5"/>
  <c r="AB31" i="5" s="1" a="1"/>
  <c r="AB31" i="5" s="1"/>
  <c r="AZ35" i="6" a="1"/>
  <c r="AZ35" i="6" s="1"/>
  <c r="BB35" i="6" a="1"/>
  <c r="BB35" i="6" s="1"/>
  <c r="BA35" i="6" a="1"/>
  <c r="BA35" i="6" s="1"/>
  <c r="AY35" i="6" a="1"/>
  <c r="AY35" i="6" s="1"/>
  <c r="BD35" i="6" a="1"/>
  <c r="BD35" i="6" s="1"/>
  <c r="AC35" i="6"/>
  <c r="AE35" i="6"/>
  <c r="AN35" i="6"/>
  <c r="BG35" i="6" a="1"/>
  <c r="BG35" i="6" s="1"/>
  <c r="AP35" i="6"/>
  <c r="AI35" i="6"/>
  <c r="AD35" i="6"/>
  <c r="AR35" i="6"/>
  <c r="AO35" i="6"/>
  <c r="AG35" i="6"/>
  <c r="AU35" i="6"/>
  <c r="AK35" i="6"/>
  <c r="AQ35" i="6"/>
  <c r="AV35" i="6"/>
  <c r="BE35" i="6" a="1"/>
  <c r="BE35" i="6" s="1"/>
  <c r="BC35" i="6" a="1"/>
  <c r="BC35" i="6" s="1"/>
  <c r="AB35" i="6"/>
  <c r="AF35" i="6"/>
  <c r="AS35" i="6"/>
  <c r="BF35" i="6" a="1"/>
  <c r="BF35" i="6" s="1"/>
  <c r="AJ35" i="6"/>
  <c r="AM35" i="6"/>
  <c r="AT35" i="6"/>
  <c r="AX35" i="6" a="1"/>
  <c r="AX35" i="6" s="1"/>
  <c r="AH35" i="6"/>
  <c r="AV38" i="6"/>
  <c r="AZ38" i="6" a="1"/>
  <c r="AZ38" i="6" s="1"/>
  <c r="AN38" i="6"/>
  <c r="BD38" i="6" a="1"/>
  <c r="BD38" i="6" s="1"/>
  <c r="AO38" i="6"/>
  <c r="AC38" i="6"/>
  <c r="AE38" i="6"/>
  <c r="BG38" i="6" a="1"/>
  <c r="BG38" i="6" s="1"/>
  <c r="AY38" i="6" a="1"/>
  <c r="AY38" i="6" s="1"/>
  <c r="AM38" i="6"/>
  <c r="AQ38" i="6"/>
  <c r="AR38" i="6"/>
  <c r="AI38" i="6"/>
  <c r="AK38" i="6"/>
  <c r="AG38" i="6"/>
  <c r="BA38" i="6" a="1"/>
  <c r="BA38" i="6" s="1"/>
  <c r="AU38" i="6"/>
  <c r="AB38" i="6"/>
  <c r="AH38" i="6"/>
  <c r="BE38" i="6" a="1"/>
  <c r="BE38" i="6" s="1"/>
  <c r="AD38" i="6"/>
  <c r="BF38" i="6" a="1"/>
  <c r="BF38" i="6" s="1"/>
  <c r="AF38" i="6"/>
  <c r="BB38" i="6" a="1"/>
  <c r="BB38" i="6" s="1"/>
  <c r="AP38" i="6"/>
  <c r="AJ38" i="6"/>
  <c r="AS38" i="6"/>
  <c r="AT38" i="6"/>
  <c r="BC38" i="6" a="1"/>
  <c r="BC38" i="6" s="1"/>
  <c r="AX38" i="6" a="1"/>
  <c r="AX38" i="6" s="1"/>
  <c r="X34" i="5" a="1"/>
  <c r="X34" i="5" s="1"/>
  <c r="I34" i="5" s="1"/>
  <c r="AP42" i="6"/>
  <c r="AS42" i="6"/>
  <c r="BA42" i="6" a="1"/>
  <c r="BA42" i="6" s="1"/>
  <c r="AR42" i="6"/>
  <c r="AT42" i="6"/>
  <c r="AK42" i="6"/>
  <c r="AF42" i="6"/>
  <c r="AZ42" i="6" a="1"/>
  <c r="AZ42" i="6" s="1"/>
  <c r="AN42" i="6"/>
  <c r="AH42" i="6"/>
  <c r="AG42" i="6"/>
  <c r="AM42" i="6"/>
  <c r="AY42" i="6" a="1"/>
  <c r="AY42" i="6" s="1"/>
  <c r="BG42" i="6" a="1"/>
  <c r="BG42" i="6" s="1"/>
  <c r="BE42" i="6" a="1"/>
  <c r="BE42" i="6" s="1"/>
  <c r="AQ42" i="6"/>
  <c r="AD42" i="6"/>
  <c r="AE42" i="6"/>
  <c r="AJ42" i="6"/>
  <c r="BD42" i="6" a="1"/>
  <c r="BD42" i="6" s="1"/>
  <c r="AU42" i="6"/>
  <c r="BC42" i="6" a="1"/>
  <c r="BC42" i="6" s="1"/>
  <c r="AI42" i="6"/>
  <c r="BB42" i="6" a="1"/>
  <c r="BB42" i="6" s="1"/>
  <c r="AV42" i="6"/>
  <c r="BF42" i="6" a="1"/>
  <c r="BF42" i="6" s="1"/>
  <c r="AX42" i="6" a="1"/>
  <c r="AX42" i="6" s="1"/>
  <c r="AO42" i="6"/>
  <c r="AC42" i="6"/>
  <c r="AB42" i="6"/>
  <c r="X32" i="5" a="1"/>
  <c r="X32" i="5" s="1"/>
  <c r="AS39" i="6"/>
  <c r="BF39" i="6" a="1"/>
  <c r="BF39" i="6" s="1"/>
  <c r="BD39" i="6" a="1"/>
  <c r="BD39" i="6" s="1"/>
  <c r="AJ39" i="6"/>
  <c r="AR39" i="6"/>
  <c r="AC39" i="6"/>
  <c r="AV39" i="6"/>
  <c r="AF39" i="6"/>
  <c r="AY39" i="6" a="1"/>
  <c r="AY39" i="6" s="1"/>
  <c r="AH39" i="6"/>
  <c r="AT39" i="6"/>
  <c r="AI39" i="6"/>
  <c r="AG39" i="6"/>
  <c r="BG39" i="6" a="1"/>
  <c r="BG39" i="6" s="1"/>
  <c r="AO39" i="6"/>
  <c r="AU39" i="6"/>
  <c r="AX39" i="6" a="1"/>
  <c r="AX39" i="6" s="1"/>
  <c r="AZ39" i="6" a="1"/>
  <c r="AZ39" i="6" s="1"/>
  <c r="BA39" i="6" a="1"/>
  <c r="BA39" i="6" s="1"/>
  <c r="AQ39" i="6"/>
  <c r="AN39" i="6"/>
  <c r="BC39" i="6" a="1"/>
  <c r="BC39" i="6" s="1"/>
  <c r="BB39" i="6" a="1"/>
  <c r="BB39" i="6" s="1"/>
  <c r="AB39" i="6"/>
  <c r="AM39" i="6"/>
  <c r="AE39" i="6"/>
  <c r="AD39" i="6"/>
  <c r="AP39" i="6"/>
  <c r="AK39" i="6"/>
  <c r="BE39" i="6" a="1"/>
  <c r="BE39" i="6" s="1"/>
  <c r="BC40" i="6" a="1"/>
  <c r="BC40" i="6" s="1"/>
  <c r="AX40" i="6" a="1"/>
  <c r="AX40" i="6" s="1"/>
  <c r="AU40" i="6"/>
  <c r="AZ40" i="6" a="1"/>
  <c r="AZ40" i="6" s="1"/>
  <c r="AY40" i="6" a="1"/>
  <c r="AY40" i="6" s="1"/>
  <c r="AG40" i="6"/>
  <c r="AH40" i="6"/>
  <c r="AB40" i="6"/>
  <c r="BB40" i="6" a="1"/>
  <c r="BB40" i="6" s="1"/>
  <c r="AM40" i="6"/>
  <c r="AE40" i="6"/>
  <c r="AN40" i="6"/>
  <c r="BG40" i="6" a="1"/>
  <c r="BG40" i="6" s="1"/>
  <c r="AT40" i="6"/>
  <c r="AP40" i="6"/>
  <c r="AR40" i="6"/>
  <c r="AK40" i="6"/>
  <c r="AJ40" i="6"/>
  <c r="AS40" i="6"/>
  <c r="AQ40" i="6"/>
  <c r="BE40" i="6" a="1"/>
  <c r="BE40" i="6" s="1"/>
  <c r="AF40" i="6"/>
  <c r="BA40" i="6" a="1"/>
  <c r="BA40" i="6" s="1"/>
  <c r="AD40" i="6"/>
  <c r="BF40" i="6" a="1"/>
  <c r="BF40" i="6" s="1"/>
  <c r="BD40" i="6" a="1"/>
  <c r="BD40" i="6" s="1"/>
  <c r="AI40" i="6"/>
  <c r="AO40" i="6"/>
  <c r="AV40" i="6"/>
  <c r="AC40" i="6"/>
  <c r="I30" i="5"/>
  <c r="O29" i="5"/>
  <c r="D28" i="12"/>
  <c r="E28" i="6"/>
  <c r="D27" i="12"/>
  <c r="E27" i="6"/>
  <c r="M26" i="8"/>
  <c r="J26" i="8"/>
  <c r="Y30" i="12" l="1"/>
  <c r="X30" i="12" s="1" a="1"/>
  <c r="X30" i="12" s="1"/>
  <c r="X43" i="5" a="1"/>
  <c r="X43" i="5" s="1"/>
  <c r="Z43" i="5" s="1"/>
  <c r="AB43" i="5" s="1" a="1"/>
  <c r="AB43" i="5" s="1"/>
  <c r="X41" i="5" a="1"/>
  <c r="X41" i="5" s="1"/>
  <c r="Z41" i="5" s="1"/>
  <c r="AB41" i="5" s="1" a="1"/>
  <c r="AB41" i="5" s="1"/>
  <c r="X40" i="5" a="1"/>
  <c r="X40" i="5" s="1"/>
  <c r="L40" i="5" s="1"/>
  <c r="C40" i="6" s="1"/>
  <c r="X38" i="5" a="1"/>
  <c r="X38" i="5" s="1"/>
  <c r="I38" i="12" s="1"/>
  <c r="X42" i="5" a="1"/>
  <c r="X42" i="5" s="1"/>
  <c r="X39" i="5" a="1"/>
  <c r="X39" i="5" s="1"/>
  <c r="X35" i="5" a="1"/>
  <c r="X35" i="5" s="1"/>
  <c r="X36" i="5" a="1"/>
  <c r="X36" i="5" s="1"/>
  <c r="BG45" i="6" a="1"/>
  <c r="BG45" i="6" s="1"/>
  <c r="BF45" i="6" a="1"/>
  <c r="BF45" i="6" s="1"/>
  <c r="AU45" i="6"/>
  <c r="AZ45" i="6" a="1"/>
  <c r="AZ45" i="6" s="1"/>
  <c r="AI45" i="6"/>
  <c r="AH45" i="6"/>
  <c r="AG45" i="6"/>
  <c r="AD45" i="6"/>
  <c r="AK45" i="6"/>
  <c r="AB45" i="6"/>
  <c r="BE45" i="6" a="1"/>
  <c r="BE45" i="6" s="1"/>
  <c r="AY45" i="6" a="1"/>
  <c r="AY45" i="6" s="1"/>
  <c r="BC45" i="6" a="1"/>
  <c r="BC45" i="6" s="1"/>
  <c r="AP45" i="6"/>
  <c r="AO45" i="6"/>
  <c r="AN45" i="6"/>
  <c r="AS45" i="6"/>
  <c r="AV45" i="6"/>
  <c r="AX45" i="6" a="1"/>
  <c r="AX45" i="6" s="1"/>
  <c r="AJ45" i="6"/>
  <c r="AR45" i="6"/>
  <c r="AC45" i="6"/>
  <c r="AT45" i="6"/>
  <c r="AQ45" i="6"/>
  <c r="BB45" i="6" a="1"/>
  <c r="BB45" i="6" s="1"/>
  <c r="AF45" i="6"/>
  <c r="BA45" i="6" a="1"/>
  <c r="BA45" i="6" s="1"/>
  <c r="AM45" i="6"/>
  <c r="AE45" i="6"/>
  <c r="BD45" i="6" a="1"/>
  <c r="BD45" i="6" s="1"/>
  <c r="M47" i="6"/>
  <c r="M48" i="6"/>
  <c r="M46" i="6"/>
  <c r="Z32" i="5"/>
  <c r="AB32" i="5" s="1" a="1"/>
  <c r="AB32" i="5" s="1"/>
  <c r="L32" i="5"/>
  <c r="C32" i="6" s="1"/>
  <c r="AM32" i="5"/>
  <c r="I32" i="12"/>
  <c r="AM34" i="5"/>
  <c r="Z34" i="5"/>
  <c r="AB34" i="5" s="1" a="1"/>
  <c r="AB34" i="5" s="1"/>
  <c r="L34" i="5"/>
  <c r="I34" i="12"/>
  <c r="O31" i="12" a="1"/>
  <c r="O31" i="12" s="1"/>
  <c r="C31" i="12"/>
  <c r="M31" i="12" a="1"/>
  <c r="M31" i="12" s="1"/>
  <c r="AO31" i="12" a="1"/>
  <c r="AO31" i="12" s="1"/>
  <c r="X37" i="5" a="1"/>
  <c r="X37" i="5" s="1"/>
  <c r="N30" i="12"/>
  <c r="I31" i="5"/>
  <c r="O30" i="5"/>
  <c r="E29" i="6"/>
  <c r="D29" i="12"/>
  <c r="S28" i="8"/>
  <c r="F30" i="8"/>
  <c r="Q26" i="8"/>
  <c r="P26" i="8"/>
  <c r="W30" i="12" l="1" a="1"/>
  <c r="W30" i="12" s="1"/>
  <c r="L43" i="5"/>
  <c r="C43" i="6" s="1"/>
  <c r="AM43" i="5"/>
  <c r="I43" i="12"/>
  <c r="C43" i="12" s="1"/>
  <c r="Z40" i="5"/>
  <c r="AB40" i="5" s="1" a="1"/>
  <c r="AB40" i="5" s="1"/>
  <c r="AM40" i="5"/>
  <c r="I40" i="12"/>
  <c r="M40" i="12" s="1" a="1"/>
  <c r="M40" i="12" s="1"/>
  <c r="I41" i="12"/>
  <c r="C41" i="12" s="1"/>
  <c r="AM41" i="5"/>
  <c r="Z38" i="5"/>
  <c r="AB38" i="5" s="1" a="1"/>
  <c r="AB38" i="5" s="1"/>
  <c r="L38" i="5"/>
  <c r="C38" i="6" s="1"/>
  <c r="AM38" i="5"/>
  <c r="L41" i="5"/>
  <c r="C41" i="6" s="1"/>
  <c r="N31" i="12"/>
  <c r="Y31" i="12"/>
  <c r="C34" i="12"/>
  <c r="O34" i="12" a="1"/>
  <c r="O34" i="12" s="1"/>
  <c r="AO34" i="12" a="1"/>
  <c r="AO34" i="12" s="1"/>
  <c r="M34" i="12" a="1"/>
  <c r="M34" i="12" s="1"/>
  <c r="O32" i="12" a="1"/>
  <c r="O32" i="12" s="1"/>
  <c r="M32" i="12" a="1"/>
  <c r="M32" i="12" s="1"/>
  <c r="C32" i="12"/>
  <c r="AO32" i="12" a="1"/>
  <c r="AO32" i="12" s="1"/>
  <c r="AS46" i="6"/>
  <c r="AY46" i="6" a="1"/>
  <c r="AY46" i="6" s="1"/>
  <c r="AO46" i="6"/>
  <c r="AM46" i="6"/>
  <c r="AX46" i="6" a="1"/>
  <c r="AX46" i="6" s="1"/>
  <c r="AG46" i="6"/>
  <c r="AJ46" i="6"/>
  <c r="AF46" i="6"/>
  <c r="AN46" i="6"/>
  <c r="AR46" i="6"/>
  <c r="BC46" i="6" a="1"/>
  <c r="BC46" i="6" s="1"/>
  <c r="BD46" i="6" a="1"/>
  <c r="BD46" i="6" s="1"/>
  <c r="AQ46" i="6"/>
  <c r="AH46" i="6"/>
  <c r="AC46" i="6"/>
  <c r="AZ46" i="6" a="1"/>
  <c r="AZ46" i="6" s="1"/>
  <c r="BA46" i="6" a="1"/>
  <c r="BA46" i="6" s="1"/>
  <c r="AI46" i="6"/>
  <c r="AV46" i="6"/>
  <c r="AK46" i="6"/>
  <c r="BE46" i="6" a="1"/>
  <c r="BE46" i="6" s="1"/>
  <c r="AU46" i="6"/>
  <c r="AD46" i="6"/>
  <c r="AT46" i="6"/>
  <c r="AP46" i="6"/>
  <c r="BB46" i="6" a="1"/>
  <c r="BB46" i="6" s="1"/>
  <c r="AB46" i="6"/>
  <c r="BF46" i="6" a="1"/>
  <c r="BF46" i="6" s="1"/>
  <c r="BG46" i="6" a="1"/>
  <c r="BG46" i="6" s="1"/>
  <c r="AE46" i="6"/>
  <c r="M50" i="6"/>
  <c r="L42" i="5"/>
  <c r="C42" i="6" s="1"/>
  <c r="AM42" i="5"/>
  <c r="I42" i="12"/>
  <c r="Z42" i="5"/>
  <c r="AB42" i="5" s="1" a="1"/>
  <c r="AB42" i="5" s="1"/>
  <c r="I37" i="12"/>
  <c r="AM37" i="5"/>
  <c r="L37" i="5"/>
  <c r="C37" i="6" s="1"/>
  <c r="Z37" i="5"/>
  <c r="AB37" i="5" s="1" a="1"/>
  <c r="AB37" i="5" s="1"/>
  <c r="AM39" i="5"/>
  <c r="Z39" i="5"/>
  <c r="AB39" i="5" s="1" a="1"/>
  <c r="AB39" i="5" s="1"/>
  <c r="I39" i="12"/>
  <c r="L39" i="5"/>
  <c r="C39" i="6" s="1"/>
  <c r="C34" i="6"/>
  <c r="O34" i="5"/>
  <c r="BG48" i="6" a="1"/>
  <c r="BG48" i="6" s="1"/>
  <c r="AZ48" i="6" a="1"/>
  <c r="AZ48" i="6" s="1"/>
  <c r="AO48" i="6"/>
  <c r="BE48" i="6" a="1"/>
  <c r="BE48" i="6" s="1"/>
  <c r="AR48" i="6"/>
  <c r="AE48" i="6"/>
  <c r="AD48" i="6"/>
  <c r="AK48" i="6"/>
  <c r="BB48" i="6" a="1"/>
  <c r="BB48" i="6" s="1"/>
  <c r="AX48" i="6" a="1"/>
  <c r="AX48" i="6" s="1"/>
  <c r="BD48" i="6" a="1"/>
  <c r="BD48" i="6" s="1"/>
  <c r="AY48" i="6" a="1"/>
  <c r="AY48" i="6" s="1"/>
  <c r="AM48" i="6"/>
  <c r="AH48" i="6"/>
  <c r="AF48" i="6"/>
  <c r="AG48" i="6"/>
  <c r="BA48" i="6" a="1"/>
  <c r="BA48" i="6" s="1"/>
  <c r="AN48" i="6"/>
  <c r="AB48" i="6"/>
  <c r="AP48" i="6"/>
  <c r="AU48" i="6"/>
  <c r="AV48" i="6"/>
  <c r="AQ48" i="6"/>
  <c r="AS48" i="6"/>
  <c r="BC48" i="6" a="1"/>
  <c r="BC48" i="6" s="1"/>
  <c r="AI48" i="6"/>
  <c r="AT48" i="6"/>
  <c r="AJ48" i="6"/>
  <c r="BF48" i="6" a="1"/>
  <c r="BF48" i="6" s="1"/>
  <c r="AC48" i="6"/>
  <c r="L36" i="5"/>
  <c r="Z36" i="5"/>
  <c r="I36" i="12"/>
  <c r="AM36" i="5"/>
  <c r="U30" i="12"/>
  <c r="T30" i="12"/>
  <c r="V30" i="12" a="1"/>
  <c r="V30" i="12" s="1"/>
  <c r="AV47" i="6"/>
  <c r="AS47" i="6"/>
  <c r="BA47" i="6" a="1"/>
  <c r="BA47" i="6" s="1"/>
  <c r="BD47" i="6" a="1"/>
  <c r="BD47" i="6" s="1"/>
  <c r="AK47" i="6"/>
  <c r="AC47" i="6"/>
  <c r="AJ47" i="6"/>
  <c r="AB47" i="6"/>
  <c r="AI47" i="6"/>
  <c r="AE47" i="6"/>
  <c r="AF47" i="6"/>
  <c r="AD47" i="6"/>
  <c r="AY47" i="6" a="1"/>
  <c r="AY47" i="6" s="1"/>
  <c r="AP47" i="6"/>
  <c r="BF47" i="6" a="1"/>
  <c r="BF47" i="6" s="1"/>
  <c r="AH47" i="6"/>
  <c r="AN47" i="6"/>
  <c r="AG47" i="6"/>
  <c r="AQ47" i="6"/>
  <c r="AU47" i="6"/>
  <c r="BB47" i="6" a="1"/>
  <c r="BB47" i="6" s="1"/>
  <c r="BC47" i="6" a="1"/>
  <c r="BC47" i="6" s="1"/>
  <c r="AO47" i="6"/>
  <c r="AM47" i="6"/>
  <c r="AZ47" i="6" a="1"/>
  <c r="AZ47" i="6" s="1"/>
  <c r="BE47" i="6" a="1"/>
  <c r="BE47" i="6" s="1"/>
  <c r="AT47" i="6"/>
  <c r="AR47" i="6"/>
  <c r="BG47" i="6" a="1"/>
  <c r="BG47" i="6" s="1"/>
  <c r="AX47" i="6" a="1"/>
  <c r="AX47" i="6" s="1"/>
  <c r="Z35" i="5"/>
  <c r="AB35" i="5" s="1" a="1"/>
  <c r="AB35" i="5" s="1"/>
  <c r="I35" i="12"/>
  <c r="AM35" i="5"/>
  <c r="L35" i="5"/>
  <c r="I35" i="5"/>
  <c r="I36" i="5" s="1"/>
  <c r="I37" i="5" s="1"/>
  <c r="I38" i="5" s="1"/>
  <c r="M38" i="12" a="1"/>
  <c r="M38" i="12" s="1"/>
  <c r="O38" i="12" a="1"/>
  <c r="O38" i="12" s="1"/>
  <c r="AO38" i="12" a="1"/>
  <c r="AO38" i="12" s="1"/>
  <c r="C38" i="12"/>
  <c r="I32" i="5"/>
  <c r="O32" i="5" s="1"/>
  <c r="O31" i="5"/>
  <c r="E30" i="6"/>
  <c r="D30" i="12"/>
  <c r="M29" i="8"/>
  <c r="J29" i="8"/>
  <c r="O40" i="12" l="1" a="1"/>
  <c r="O40" i="12" s="1"/>
  <c r="O43" i="12" a="1"/>
  <c r="O43" i="12" s="1"/>
  <c r="AO43" i="12" a="1"/>
  <c r="AO43" i="12" s="1"/>
  <c r="M43" i="12" a="1"/>
  <c r="M43" i="12" s="1"/>
  <c r="C40" i="12"/>
  <c r="AO40" i="12" a="1"/>
  <c r="AO40" i="12" s="1"/>
  <c r="M41" i="12" a="1"/>
  <c r="M41" i="12" s="1"/>
  <c r="O41" i="12" a="1"/>
  <c r="O41" i="12" s="1"/>
  <c r="AO41" i="12" a="1"/>
  <c r="AO41" i="12" s="1"/>
  <c r="Y32" i="12"/>
  <c r="X32" i="12" s="1" a="1"/>
  <c r="X32" i="12" s="1"/>
  <c r="Y38" i="12"/>
  <c r="X38" i="12" s="1" a="1"/>
  <c r="X38" i="12" s="1"/>
  <c r="N40" i="12"/>
  <c r="X46" i="5" a="1"/>
  <c r="X46" i="5" s="1"/>
  <c r="L46" i="5" s="1"/>
  <c r="C46" i="6" s="1"/>
  <c r="Y34" i="12"/>
  <c r="W34" i="12" s="1" a="1"/>
  <c r="W34" i="12" s="1"/>
  <c r="X47" i="5" a="1"/>
  <c r="X47" i="5" s="1"/>
  <c r="AM47" i="5" s="1"/>
  <c r="N34" i="12"/>
  <c r="AO36" i="12" a="1"/>
  <c r="AO36" i="12" s="1"/>
  <c r="C36" i="12"/>
  <c r="M36" i="12" a="1"/>
  <c r="M36" i="12" s="1"/>
  <c r="O36" i="12" a="1"/>
  <c r="O36" i="12" s="1"/>
  <c r="O37" i="5"/>
  <c r="D37" i="12" s="1"/>
  <c r="AB36" i="5" a="1"/>
  <c r="AB36" i="5" s="1"/>
  <c r="D34" i="12"/>
  <c r="E34" i="6"/>
  <c r="N32" i="12"/>
  <c r="M39" i="12" a="1"/>
  <c r="M39" i="12" s="1"/>
  <c r="C39" i="12"/>
  <c r="O39" i="12" a="1"/>
  <c r="O39" i="12" s="1"/>
  <c r="AO39" i="12" a="1"/>
  <c r="AO39" i="12" s="1"/>
  <c r="O42" i="12" a="1"/>
  <c r="O42" i="12" s="1"/>
  <c r="C42" i="12"/>
  <c r="AO42" i="12" a="1"/>
  <c r="AO42" i="12" s="1"/>
  <c r="M42" i="12" a="1"/>
  <c r="M42" i="12" s="1"/>
  <c r="C35" i="6"/>
  <c r="O35" i="5"/>
  <c r="O36" i="5"/>
  <c r="C36" i="6"/>
  <c r="X48" i="5" a="1"/>
  <c r="X48" i="5" s="1"/>
  <c r="M37" i="12" a="1"/>
  <c r="M37" i="12" s="1"/>
  <c r="O37" i="12" a="1"/>
  <c r="O37" i="12" s="1"/>
  <c r="C37" i="12"/>
  <c r="AO37" i="12" a="1"/>
  <c r="AO37" i="12" s="1"/>
  <c r="O35" i="12" a="1"/>
  <c r="O35" i="12" s="1"/>
  <c r="C35" i="12"/>
  <c r="AO35" i="12" a="1"/>
  <c r="AO35" i="12" s="1"/>
  <c r="M35" i="12" a="1"/>
  <c r="M35" i="12" s="1"/>
  <c r="N38" i="12"/>
  <c r="AT50" i="6"/>
  <c r="AG50" i="6"/>
  <c r="BB50" i="6" a="1"/>
  <c r="BB50" i="6" s="1"/>
  <c r="AQ50" i="6"/>
  <c r="AF50" i="6"/>
  <c r="AD50" i="6"/>
  <c r="AP50" i="6"/>
  <c r="AO50" i="6"/>
  <c r="BE50" i="6" a="1"/>
  <c r="BE50" i="6" s="1"/>
  <c r="AZ50" i="6" a="1"/>
  <c r="AZ50" i="6" s="1"/>
  <c r="AS50" i="6"/>
  <c r="AY50" i="6" a="1"/>
  <c r="AY50" i="6" s="1"/>
  <c r="AJ50" i="6"/>
  <c r="BD50" i="6" a="1"/>
  <c r="BD50" i="6" s="1"/>
  <c r="AI50" i="6"/>
  <c r="AR50" i="6"/>
  <c r="AX50" i="6" a="1"/>
  <c r="AX50" i="6" s="1"/>
  <c r="AM50" i="6"/>
  <c r="AK50" i="6"/>
  <c r="AV50" i="6"/>
  <c r="AE50" i="6"/>
  <c r="BC50" i="6" a="1"/>
  <c r="BC50" i="6" s="1"/>
  <c r="AC50" i="6"/>
  <c r="BA50" i="6" a="1"/>
  <c r="BA50" i="6" s="1"/>
  <c r="AB50" i="6"/>
  <c r="BG50" i="6" a="1"/>
  <c r="BG50" i="6" s="1"/>
  <c r="AN50" i="6"/>
  <c r="AU50" i="6"/>
  <c r="AH50" i="6"/>
  <c r="BF50" i="6" a="1"/>
  <c r="BF50" i="6" s="1"/>
  <c r="M51" i="6"/>
  <c r="M53" i="6"/>
  <c r="M52" i="6"/>
  <c r="W31" i="12" a="1"/>
  <c r="W31" i="12" s="1"/>
  <c r="X31" i="12" a="1"/>
  <c r="X31" i="12" s="1"/>
  <c r="E32" i="6"/>
  <c r="D32" i="12"/>
  <c r="E31" i="6"/>
  <c r="D31" i="12"/>
  <c r="K1" i="7" a="1"/>
  <c r="K1" i="7" s="1"/>
  <c r="J1" i="7" a="1"/>
  <c r="J1" i="7" s="1"/>
  <c r="O38" i="5"/>
  <c r="E38" i="6" s="1"/>
  <c r="I39" i="5"/>
  <c r="S31" i="8"/>
  <c r="F33" i="8"/>
  <c r="P29" i="8"/>
  <c r="Q29" i="8"/>
  <c r="Y40" i="12" l="1"/>
  <c r="X40" i="12" s="1" a="1"/>
  <c r="X40" i="12" s="1"/>
  <c r="N43" i="12"/>
  <c r="Y43" i="12"/>
  <c r="W43" i="12" s="1" a="1"/>
  <c r="W43" i="12" s="1"/>
  <c r="V43" i="12" s="1" a="1"/>
  <c r="V43" i="12" s="1"/>
  <c r="W32" i="12" a="1"/>
  <c r="W32" i="12" s="1"/>
  <c r="T32" i="12" s="1"/>
  <c r="N41" i="12"/>
  <c r="Y41" i="12"/>
  <c r="X41" i="12" s="1" a="1"/>
  <c r="X41" i="12" s="1"/>
  <c r="Z46" i="5"/>
  <c r="AB46" i="5" s="1" a="1"/>
  <c r="AB46" i="5" s="1"/>
  <c r="Y36" i="12"/>
  <c r="W36" i="12" s="1" a="1"/>
  <c r="W36" i="12" s="1"/>
  <c r="W40" i="12" a="1"/>
  <c r="W40" i="12" s="1"/>
  <c r="T40" i="12" s="1"/>
  <c r="X34" i="12" a="1"/>
  <c r="X34" i="12" s="1"/>
  <c r="W38" i="12" a="1"/>
  <c r="W38" i="12" s="1"/>
  <c r="V38" i="12" s="1" a="1"/>
  <c r="V38" i="12" s="1"/>
  <c r="E37" i="6"/>
  <c r="Z47" i="5"/>
  <c r="AB47" i="5" s="1" a="1"/>
  <c r="AB47" i="5" s="1"/>
  <c r="I47" i="12"/>
  <c r="O47" i="12" s="1" a="1"/>
  <c r="O47" i="12" s="1"/>
  <c r="L47" i="5"/>
  <c r="C47" i="6" s="1"/>
  <c r="I46" i="12"/>
  <c r="AO46" i="12" s="1" a="1"/>
  <c r="AO46" i="12" s="1"/>
  <c r="AM46" i="5"/>
  <c r="W41" i="12" a="1"/>
  <c r="W41" i="12" s="1"/>
  <c r="V41" i="12" s="1" a="1"/>
  <c r="V41" i="12" s="1"/>
  <c r="Y37" i="12"/>
  <c r="W37" i="12" s="1" a="1"/>
  <c r="W37" i="12" s="1"/>
  <c r="N37" i="12"/>
  <c r="N42" i="12"/>
  <c r="BA51" i="6" a="1"/>
  <c r="BA51" i="6" s="1"/>
  <c r="BE51" i="6" a="1"/>
  <c r="BE51" i="6" s="1"/>
  <c r="AS51" i="6"/>
  <c r="AR51" i="6"/>
  <c r="AO51" i="6"/>
  <c r="AD51" i="6"/>
  <c r="AH51" i="6"/>
  <c r="AC51" i="6"/>
  <c r="AT51" i="6"/>
  <c r="BF51" i="6" a="1"/>
  <c r="BF51" i="6" s="1"/>
  <c r="AN51" i="6"/>
  <c r="BG51" i="6" a="1"/>
  <c r="BG51" i="6" s="1"/>
  <c r="AZ51" i="6" a="1"/>
  <c r="AZ51" i="6" s="1"/>
  <c r="AF51" i="6"/>
  <c r="AI51" i="6"/>
  <c r="AK51" i="6"/>
  <c r="AX51" i="6" a="1"/>
  <c r="AX51" i="6" s="1"/>
  <c r="BC51" i="6" a="1"/>
  <c r="BC51" i="6" s="1"/>
  <c r="AE51" i="6"/>
  <c r="AY51" i="6" a="1"/>
  <c r="AY51" i="6" s="1"/>
  <c r="AB51" i="6"/>
  <c r="BB51" i="6" a="1"/>
  <c r="BB51" i="6" s="1"/>
  <c r="AJ51" i="6"/>
  <c r="AV51" i="6"/>
  <c r="AU51" i="6"/>
  <c r="AG51" i="6"/>
  <c r="AP51" i="6"/>
  <c r="BD51" i="6" a="1"/>
  <c r="BD51" i="6" s="1"/>
  <c r="AM51" i="6"/>
  <c r="AQ51" i="6"/>
  <c r="M55" i="6"/>
  <c r="Q17" i="7" s="1" a="1"/>
  <c r="Q17" i="7" s="1"/>
  <c r="Y35" i="12"/>
  <c r="E35" i="6"/>
  <c r="D35" i="12"/>
  <c r="Y39" i="12"/>
  <c r="BA52" i="6" a="1"/>
  <c r="BA52" i="6" s="1"/>
  <c r="AJ52" i="6"/>
  <c r="AM52" i="6"/>
  <c r="AO52" i="6"/>
  <c r="AI52" i="6"/>
  <c r="AZ52" i="6" a="1"/>
  <c r="AZ52" i="6" s="1"/>
  <c r="AY52" i="6" a="1"/>
  <c r="AY52" i="6" s="1"/>
  <c r="AN52" i="6"/>
  <c r="BB52" i="6" a="1"/>
  <c r="BB52" i="6" s="1"/>
  <c r="AX52" i="6" a="1"/>
  <c r="AX52" i="6" s="1"/>
  <c r="AF52" i="6"/>
  <c r="AD52" i="6"/>
  <c r="AV52" i="6"/>
  <c r="BF52" i="6" a="1"/>
  <c r="BF52" i="6" s="1"/>
  <c r="AT52" i="6"/>
  <c r="AQ52" i="6"/>
  <c r="BE52" i="6" a="1"/>
  <c r="BE52" i="6" s="1"/>
  <c r="AB52" i="6"/>
  <c r="BD52" i="6" a="1"/>
  <c r="BD52" i="6" s="1"/>
  <c r="AS52" i="6"/>
  <c r="BC52" i="6" a="1"/>
  <c r="BC52" i="6" s="1"/>
  <c r="AK52" i="6"/>
  <c r="AC52" i="6"/>
  <c r="AR52" i="6"/>
  <c r="BG52" i="6" a="1"/>
  <c r="BG52" i="6" s="1"/>
  <c r="AU52" i="6"/>
  <c r="AG52" i="6"/>
  <c r="AP52" i="6"/>
  <c r="AE52" i="6"/>
  <c r="AH52" i="6"/>
  <c r="X50" i="5" a="1"/>
  <c r="X50" i="5" s="1"/>
  <c r="E36" i="6"/>
  <c r="D36" i="12"/>
  <c r="Y42" i="12"/>
  <c r="N39" i="12"/>
  <c r="U34" i="12"/>
  <c r="T34" i="12"/>
  <c r="V34" i="12" a="1"/>
  <c r="V34" i="12" s="1"/>
  <c r="L48" i="5"/>
  <c r="C48" i="6" s="1"/>
  <c r="Z48" i="5"/>
  <c r="AB48" i="5" s="1" a="1"/>
  <c r="AB48" i="5" s="1"/>
  <c r="I48" i="12"/>
  <c r="AM48" i="5"/>
  <c r="V31" i="12" a="1"/>
  <c r="V31" i="12" s="1"/>
  <c r="T31" i="12"/>
  <c r="U31" i="12"/>
  <c r="AR53" i="6"/>
  <c r="BF53" i="6" a="1"/>
  <c r="BF53" i="6" s="1"/>
  <c r="BC53" i="6" a="1"/>
  <c r="BC53" i="6" s="1"/>
  <c r="BB53" i="6" a="1"/>
  <c r="BB53" i="6" s="1"/>
  <c r="BG53" i="6" a="1"/>
  <c r="BG53" i="6" s="1"/>
  <c r="AD53" i="6"/>
  <c r="AH53" i="6"/>
  <c r="AQ53" i="6"/>
  <c r="BE53" i="6" a="1"/>
  <c r="BE53" i="6" s="1"/>
  <c r="AM53" i="6"/>
  <c r="AU53" i="6"/>
  <c r="BD53" i="6" a="1"/>
  <c r="BD53" i="6" s="1"/>
  <c r="AC53" i="6"/>
  <c r="AF53" i="6"/>
  <c r="AI53" i="6"/>
  <c r="AP53" i="6"/>
  <c r="AY53" i="6" a="1"/>
  <c r="AY53" i="6" s="1"/>
  <c r="AZ53" i="6" a="1"/>
  <c r="AZ53" i="6" s="1"/>
  <c r="AE53" i="6"/>
  <c r="BA53" i="6" a="1"/>
  <c r="BA53" i="6" s="1"/>
  <c r="AK53" i="6"/>
  <c r="AO53" i="6"/>
  <c r="AB53" i="6"/>
  <c r="AN53" i="6"/>
  <c r="AV53" i="6"/>
  <c r="AT53" i="6"/>
  <c r="AG53" i="6"/>
  <c r="AX53" i="6" a="1"/>
  <c r="AX53" i="6" s="1"/>
  <c r="AJ53" i="6"/>
  <c r="AS53" i="6"/>
  <c r="N35" i="12"/>
  <c r="T43" i="12"/>
  <c r="N36" i="12"/>
  <c r="D38" i="12"/>
  <c r="I40" i="5"/>
  <c r="O39" i="5"/>
  <c r="X45" i="5" a="1"/>
  <c r="X45" i="5" s="1"/>
  <c r="X44" i="5" s="1" a="1"/>
  <c r="X44" i="5" s="1"/>
  <c r="I44" i="5" s="1"/>
  <c r="I45" i="5" s="1"/>
  <c r="I46" i="5" s="1"/>
  <c r="X23" i="5" a="1"/>
  <c r="X23" i="5" s="1"/>
  <c r="Z23" i="5" s="1"/>
  <c r="X33" i="5" a="1"/>
  <c r="X33" i="5" s="1"/>
  <c r="X17" i="5" a="1"/>
  <c r="X17" i="5" s="1"/>
  <c r="M32" i="8"/>
  <c r="J32" i="8"/>
  <c r="U43" i="12" l="1"/>
  <c r="M17" i="7" a="1"/>
  <c r="M17" i="7" s="1"/>
  <c r="P17" i="7" a="1"/>
  <c r="P17" i="7" s="1"/>
  <c r="S17" i="7" a="1"/>
  <c r="S17" i="7" s="1"/>
  <c r="Y17" i="7" a="1"/>
  <c r="Y17" i="7" s="1"/>
  <c r="C17" i="9"/>
  <c r="F17" i="9" s="1"/>
  <c r="C17" i="10"/>
  <c r="A17" i="10" s="1"/>
  <c r="A15" i="9"/>
  <c r="I17" i="7" a="1"/>
  <c r="I17" i="7" s="1"/>
  <c r="T17" i="7" a="1"/>
  <c r="T17" i="7" s="1"/>
  <c r="K17" i="7" a="1"/>
  <c r="K17" i="7" s="1"/>
  <c r="J17" i="7" a="1"/>
  <c r="J17" i="7" s="1"/>
  <c r="X17" i="7" a="1"/>
  <c r="X17" i="7" s="1"/>
  <c r="W17" i="7" a="1"/>
  <c r="W17" i="7" s="1"/>
  <c r="L17" i="7" a="1"/>
  <c r="L17" i="7" s="1"/>
  <c r="O17" i="7" a="1"/>
  <c r="O17" i="7" s="1"/>
  <c r="N17" i="7" a="1"/>
  <c r="N17" i="7" s="1"/>
  <c r="U17" i="7" a="1"/>
  <c r="U17" i="7" s="1"/>
  <c r="R17" i="7" a="1"/>
  <c r="R17" i="7" s="1"/>
  <c r="V17" i="7" a="1"/>
  <c r="V17" i="7" s="1"/>
  <c r="K21" i="7" a="1"/>
  <c r="K21" i="7" s="1"/>
  <c r="A10" i="9"/>
  <c r="V32" i="12" a="1"/>
  <c r="V32" i="12" s="1"/>
  <c r="X43" i="12" a="1"/>
  <c r="X43" i="12" s="1"/>
  <c r="U32" i="12"/>
  <c r="U40" i="12"/>
  <c r="M47" i="12" a="1"/>
  <c r="M47" i="12" s="1"/>
  <c r="N47" i="12" s="1"/>
  <c r="T41" i="12"/>
  <c r="U41" i="12"/>
  <c r="AO47" i="12" a="1"/>
  <c r="AO47" i="12" s="1"/>
  <c r="Y47" i="12" s="1"/>
  <c r="C47" i="12"/>
  <c r="X36" i="12" a="1"/>
  <c r="X36" i="12" s="1"/>
  <c r="V40" i="12" a="1"/>
  <c r="V40" i="12" s="1"/>
  <c r="U38" i="12"/>
  <c r="T38" i="12"/>
  <c r="O46" i="12" a="1"/>
  <c r="O46" i="12" s="1"/>
  <c r="Y46" i="12" s="1"/>
  <c r="X37" i="12" a="1"/>
  <c r="X37" i="12" s="1"/>
  <c r="M46" i="12" a="1"/>
  <c r="M46" i="12" s="1"/>
  <c r="C46" i="12"/>
  <c r="W21" i="7" a="1"/>
  <c r="W21" i="7" s="1"/>
  <c r="P21" i="7" a="1"/>
  <c r="P21" i="7" s="1"/>
  <c r="U20" i="7" a="1"/>
  <c r="U20" i="7" s="1"/>
  <c r="M19" i="7" a="1"/>
  <c r="M19" i="7" s="1"/>
  <c r="Q19" i="7" a="1"/>
  <c r="Q19" i="7" s="1"/>
  <c r="S21" i="7" a="1"/>
  <c r="S21" i="7" s="1"/>
  <c r="V18" i="7" a="1"/>
  <c r="V18" i="7" s="1"/>
  <c r="Q20" i="7" a="1"/>
  <c r="Q20" i="7" s="1"/>
  <c r="X18" i="7" a="1"/>
  <c r="X18" i="7" s="1"/>
  <c r="M18" i="7" a="1"/>
  <c r="M18" i="7" s="1"/>
  <c r="R18" i="7" a="1"/>
  <c r="R18" i="7" s="1"/>
  <c r="T16" i="7" a="1"/>
  <c r="T16" i="7" s="1"/>
  <c r="X19" i="7" a="1"/>
  <c r="X19" i="7" s="1"/>
  <c r="M21" i="7" a="1"/>
  <c r="M21" i="7" s="1"/>
  <c r="L19" i="7" a="1"/>
  <c r="L19" i="7" s="1"/>
  <c r="T18" i="7" a="1"/>
  <c r="T18" i="7" s="1"/>
  <c r="Q21" i="7" a="1"/>
  <c r="Q21" i="7" s="1"/>
  <c r="W20" i="7" a="1"/>
  <c r="W20" i="7" s="1"/>
  <c r="R21" i="7" a="1"/>
  <c r="R21" i="7" s="1"/>
  <c r="K20" i="7" a="1"/>
  <c r="K20" i="7" s="1"/>
  <c r="J22" i="7" a="1"/>
  <c r="J22" i="7" s="1"/>
  <c r="K16" i="7" a="1"/>
  <c r="K16" i="7" s="1"/>
  <c r="J20" i="7" a="1"/>
  <c r="J20" i="7" s="1"/>
  <c r="K22" i="7" a="1"/>
  <c r="K22" i="7" s="1"/>
  <c r="J18" i="7" a="1"/>
  <c r="J18" i="7" s="1"/>
  <c r="J19" i="7" a="1"/>
  <c r="J19" i="7" s="1"/>
  <c r="J16" i="7" a="1"/>
  <c r="J16" i="7" s="1"/>
  <c r="J21" i="7" a="1"/>
  <c r="J21" i="7" s="1"/>
  <c r="S16" i="7" a="1"/>
  <c r="S16" i="7" s="1"/>
  <c r="N20" i="7" a="1"/>
  <c r="N20" i="7" s="1"/>
  <c r="U16" i="7" a="1"/>
  <c r="U16" i="7" s="1"/>
  <c r="T22" i="7" a="1"/>
  <c r="T22" i="7" s="1"/>
  <c r="R16" i="7" a="1"/>
  <c r="R16" i="7" s="1"/>
  <c r="X22" i="7" a="1"/>
  <c r="X22" i="7" s="1"/>
  <c r="N16" i="7" a="1"/>
  <c r="N16" i="7" s="1"/>
  <c r="W18" i="7" a="1"/>
  <c r="W18" i="7" s="1"/>
  <c r="W22" i="7" a="1"/>
  <c r="W22" i="7" s="1"/>
  <c r="V16" i="7" a="1"/>
  <c r="V16" i="7" s="1"/>
  <c r="X21" i="7" a="1"/>
  <c r="X21" i="7" s="1"/>
  <c r="Y20" i="7" a="1"/>
  <c r="Y20" i="7" s="1"/>
  <c r="L18" i="7" a="1"/>
  <c r="L18" i="7" s="1"/>
  <c r="M22" i="7" a="1"/>
  <c r="M22" i="7" s="1"/>
  <c r="Y18" i="7" a="1"/>
  <c r="Y18" i="7" s="1"/>
  <c r="U22" i="7" a="1"/>
  <c r="U22" i="7" s="1"/>
  <c r="P16" i="7" a="1"/>
  <c r="P16" i="7" s="1"/>
  <c r="U19" i="7" a="1"/>
  <c r="U19" i="7" s="1"/>
  <c r="Y19" i="7" a="1"/>
  <c r="Y19" i="7" s="1"/>
  <c r="L22" i="7" a="1"/>
  <c r="L22" i="7" s="1"/>
  <c r="Y16" i="7" a="1"/>
  <c r="Y16" i="7" s="1"/>
  <c r="K19" i="7" a="1"/>
  <c r="K19" i="7" s="1"/>
  <c r="O19" i="7" a="1"/>
  <c r="O19" i="7" s="1"/>
  <c r="O16" i="7" a="1"/>
  <c r="O16" i="7" s="1"/>
  <c r="N19" i="7" a="1"/>
  <c r="N19" i="7" s="1"/>
  <c r="V21" i="7" a="1"/>
  <c r="V21" i="7" s="1"/>
  <c r="X20" i="7" a="1"/>
  <c r="X20" i="7" s="1"/>
  <c r="M16" i="7" a="1"/>
  <c r="M16" i="7" s="1"/>
  <c r="T20" i="7" a="1"/>
  <c r="T20" i="7" s="1"/>
  <c r="Q18" i="7" a="1"/>
  <c r="Q18" i="7" s="1"/>
  <c r="O20" i="7" a="1"/>
  <c r="O20" i="7" s="1"/>
  <c r="O18" i="7" a="1"/>
  <c r="O18" i="7" s="1"/>
  <c r="S20" i="7" a="1"/>
  <c r="S20" i="7" s="1"/>
  <c r="U21" i="7" a="1"/>
  <c r="U21" i="7" s="1"/>
  <c r="R19" i="7" a="1"/>
  <c r="R19" i="7" s="1"/>
  <c r="R22" i="7" a="1"/>
  <c r="R22" i="7" s="1"/>
  <c r="S18" i="7" a="1"/>
  <c r="S18" i="7" s="1"/>
  <c r="R20" i="7" a="1"/>
  <c r="R20" i="7" s="1"/>
  <c r="P18" i="7" a="1"/>
  <c r="P18" i="7" s="1"/>
  <c r="T21" i="7" a="1"/>
  <c r="T21" i="7" s="1"/>
  <c r="O22" i="7" a="1"/>
  <c r="O22" i="7" s="1"/>
  <c r="V20" i="7" a="1"/>
  <c r="V20" i="7" s="1"/>
  <c r="N21" i="7" a="1"/>
  <c r="N21" i="7" s="1"/>
  <c r="Y21" i="7" a="1"/>
  <c r="Y21" i="7" s="1"/>
  <c r="U18" i="7" a="1"/>
  <c r="U18" i="7" s="1"/>
  <c r="K18" i="7" a="1"/>
  <c r="K18" i="7" s="1"/>
  <c r="Q22" i="7" a="1"/>
  <c r="Q22" i="7" s="1"/>
  <c r="P22" i="7" a="1"/>
  <c r="P22" i="7" s="1"/>
  <c r="W16" i="7" a="1"/>
  <c r="W16" i="7" s="1"/>
  <c r="O21" i="7" a="1"/>
  <c r="O21" i="7" s="1"/>
  <c r="L21" i="7" a="1"/>
  <c r="L21" i="7" s="1"/>
  <c r="L16" i="7" a="1"/>
  <c r="L16" i="7" s="1"/>
  <c r="V19" i="7" a="1"/>
  <c r="V19" i="7" s="1"/>
  <c r="L20" i="7" a="1"/>
  <c r="L20" i="7" s="1"/>
  <c r="X16" i="7" a="1"/>
  <c r="X16" i="7" s="1"/>
  <c r="S22" i="7" a="1"/>
  <c r="S22" i="7" s="1"/>
  <c r="T19" i="7" a="1"/>
  <c r="T19" i="7" s="1"/>
  <c r="Y22" i="7" a="1"/>
  <c r="Y22" i="7" s="1"/>
  <c r="N18" i="7" a="1"/>
  <c r="N18" i="7" s="1"/>
  <c r="V22" i="7" a="1"/>
  <c r="V22" i="7" s="1"/>
  <c r="P19" i="7" a="1"/>
  <c r="P19" i="7" s="1"/>
  <c r="Q16" i="7" a="1"/>
  <c r="Q16" i="7" s="1"/>
  <c r="P20" i="7" a="1"/>
  <c r="P20" i="7" s="1"/>
  <c r="W19" i="7" a="1"/>
  <c r="W19" i="7" s="1"/>
  <c r="N22" i="7" a="1"/>
  <c r="N22" i="7" s="1"/>
  <c r="S19" i="7" a="1"/>
  <c r="S19" i="7" s="1"/>
  <c r="M20" i="7" a="1"/>
  <c r="M20" i="7" s="1"/>
  <c r="M48" i="12" a="1"/>
  <c r="M48" i="12" s="1"/>
  <c r="O48" i="12" a="1"/>
  <c r="O48" i="12" s="1"/>
  <c r="C48" i="12"/>
  <c r="AO48" i="12" a="1"/>
  <c r="AO48" i="12" s="1"/>
  <c r="X52" i="5" a="1"/>
  <c r="X52" i="5" s="1"/>
  <c r="X35" i="12" a="1"/>
  <c r="X35" i="12" s="1"/>
  <c r="W35" i="12" a="1"/>
  <c r="W35" i="12" s="1"/>
  <c r="AP55" i="6"/>
  <c r="AU55" i="6"/>
  <c r="BD55" i="6" a="1"/>
  <c r="BD55" i="6" s="1"/>
  <c r="AH55" i="6"/>
  <c r="AH15" i="6" s="1"/>
  <c r="W15" i="6" s="1"/>
  <c r="W11" i="6" s="1"/>
  <c r="AO55" i="6"/>
  <c r="AS55" i="6"/>
  <c r="BG55" i="6" a="1"/>
  <c r="BG55" i="6" s="1"/>
  <c r="BC55" i="6" a="1"/>
  <c r="BC55" i="6" s="1"/>
  <c r="AT55" i="6"/>
  <c r="AJ55" i="6"/>
  <c r="AJ15" i="6" s="1"/>
  <c r="Y15" i="6" s="1"/>
  <c r="Y11" i="6" s="1"/>
  <c r="BE55" i="6" a="1"/>
  <c r="BE55" i="6" s="1"/>
  <c r="BF55" i="6" a="1"/>
  <c r="BF55" i="6" s="1"/>
  <c r="BB55" i="6" a="1"/>
  <c r="BB55" i="6" s="1"/>
  <c r="AR55" i="6"/>
  <c r="AV55" i="6"/>
  <c r="AG55" i="6"/>
  <c r="AG15" i="6" s="1"/>
  <c r="V15" i="6" s="1"/>
  <c r="V11" i="6" s="1"/>
  <c r="AX55" i="6" a="1"/>
  <c r="AX55" i="6" s="1"/>
  <c r="AY55" i="6" a="1"/>
  <c r="AY55" i="6" s="1"/>
  <c r="AD55" i="6"/>
  <c r="AD15" i="6" s="1"/>
  <c r="S15" i="6" s="1"/>
  <c r="S11" i="6" s="1"/>
  <c r="AI55" i="6"/>
  <c r="AI15" i="6" s="1"/>
  <c r="X15" i="6" s="1"/>
  <c r="X11" i="6" s="1"/>
  <c r="AE55" i="6"/>
  <c r="AE15" i="6" s="1"/>
  <c r="T15" i="6" s="1"/>
  <c r="T11" i="6" s="1"/>
  <c r="AN55" i="6"/>
  <c r="AM55" i="6"/>
  <c r="BA55" i="6" a="1"/>
  <c r="BA55" i="6" s="1"/>
  <c r="AB55" i="6"/>
  <c r="AB15" i="6" s="1"/>
  <c r="AQ55" i="6"/>
  <c r="AC55" i="6"/>
  <c r="AC15" i="6" s="1"/>
  <c r="AK55" i="6"/>
  <c r="AK15" i="6" s="1"/>
  <c r="Z15" i="6" s="1"/>
  <c r="Z11" i="6" s="1"/>
  <c r="AZ55" i="6" a="1"/>
  <c r="AZ55" i="6" s="1"/>
  <c r="AF55" i="6"/>
  <c r="AF15" i="6" s="1"/>
  <c r="U15" i="6" s="1"/>
  <c r="U11" i="6" s="1"/>
  <c r="X51" i="5" a="1"/>
  <c r="X51" i="5" s="1"/>
  <c r="V36" i="12" a="1"/>
  <c r="V36" i="12" s="1"/>
  <c r="T36" i="12"/>
  <c r="U36" i="12"/>
  <c r="X53" i="5" a="1"/>
  <c r="X53" i="5" s="1"/>
  <c r="W42" i="12" a="1"/>
  <c r="W42" i="12" s="1"/>
  <c r="X42" i="12" a="1"/>
  <c r="X42" i="12" s="1"/>
  <c r="X39" i="12" a="1"/>
  <c r="X39" i="12" s="1"/>
  <c r="W39" i="12" a="1"/>
  <c r="W39" i="12" s="1"/>
  <c r="C1" i="10"/>
  <c r="A1" i="10" s="1"/>
  <c r="C1" i="9"/>
  <c r="F1" i="9" s="1"/>
  <c r="L50" i="5"/>
  <c r="C50" i="6" s="1"/>
  <c r="Z50" i="5"/>
  <c r="AB50" i="5" s="1" a="1"/>
  <c r="AB50" i="5" s="1"/>
  <c r="I50" i="12"/>
  <c r="AM50" i="5"/>
  <c r="U37" i="12"/>
  <c r="T37" i="12"/>
  <c r="V37" i="12" a="1"/>
  <c r="V37" i="12" s="1"/>
  <c r="M12" i="6" a="1"/>
  <c r="M12" i="6" s="1"/>
  <c r="I41" i="5"/>
  <c r="O40" i="5"/>
  <c r="E39" i="6"/>
  <c r="D39" i="12"/>
  <c r="I47" i="5"/>
  <c r="O46" i="5"/>
  <c r="Z45" i="5"/>
  <c r="I45" i="12"/>
  <c r="L45" i="5"/>
  <c r="AM45" i="5"/>
  <c r="L44" i="5"/>
  <c r="AC44" i="5" s="1" a="1"/>
  <c r="AC44" i="5" s="1"/>
  <c r="Z44" i="5"/>
  <c r="I44" i="12"/>
  <c r="AM44" i="5"/>
  <c r="S26" i="8"/>
  <c r="L23" i="5"/>
  <c r="AC23" i="5" s="1" a="1"/>
  <c r="AC23" i="5" s="1"/>
  <c r="AM23" i="5"/>
  <c r="I23" i="12"/>
  <c r="L33" i="5"/>
  <c r="AC33" i="5" s="1" a="1"/>
  <c r="AC33" i="5" s="1"/>
  <c r="I33" i="12"/>
  <c r="Z33" i="5"/>
  <c r="AM33" i="5"/>
  <c r="S20" i="8"/>
  <c r="Q32" i="8"/>
  <c r="Z17" i="5"/>
  <c r="I17" i="12"/>
  <c r="L17" i="5"/>
  <c r="AC17" i="5" s="1" a="1"/>
  <c r="AC17" i="5" s="1"/>
  <c r="AM17" i="5"/>
  <c r="S23" i="8"/>
  <c r="P32" i="8"/>
  <c r="S34" i="8"/>
  <c r="F17" i="7" l="1"/>
  <c r="H17" i="7" a="1"/>
  <c r="H17" i="7" s="1"/>
  <c r="E17" i="7" a="1"/>
  <c r="E17" i="7" s="1"/>
  <c r="U37" i="8" a="1"/>
  <c r="U37" i="8" s="1"/>
  <c r="E37" i="8" a="1"/>
  <c r="E37" i="8" s="1"/>
  <c r="AE37" i="8" a="1"/>
  <c r="AE37" i="8" s="1"/>
  <c r="AC37" i="8" a="1"/>
  <c r="AC37" i="8" s="1"/>
  <c r="AF37" i="8" a="1"/>
  <c r="AF37" i="8" s="1"/>
  <c r="AD37" i="8" a="1"/>
  <c r="AD37" i="8" s="1"/>
  <c r="AB37" i="8" a="1"/>
  <c r="AB37" i="8" s="1"/>
  <c r="W37" i="8" a="1"/>
  <c r="W37" i="8" s="1"/>
  <c r="AA37" i="8" a="1"/>
  <c r="AA37" i="8" s="1"/>
  <c r="X37" i="8" a="1"/>
  <c r="X37" i="8" s="1"/>
  <c r="V37" i="8" a="1"/>
  <c r="V37" i="8" s="1"/>
  <c r="Y37" i="8" a="1"/>
  <c r="Y37" i="8" s="1"/>
  <c r="Z37" i="8" a="1"/>
  <c r="Z37" i="8" s="1"/>
  <c r="N46" i="12"/>
  <c r="Q31" i="10" a="1"/>
  <c r="Q31" i="10" s="1"/>
  <c r="M14" i="7"/>
  <c r="O31" i="10" a="1"/>
  <c r="O31" i="10" s="1"/>
  <c r="R14" i="7"/>
  <c r="N14" i="7"/>
  <c r="P14" i="7"/>
  <c r="S31" i="10" a="1"/>
  <c r="S31" i="10" s="1"/>
  <c r="O14" i="7"/>
  <c r="V14" i="7"/>
  <c r="X14" i="7"/>
  <c r="T14" i="7"/>
  <c r="Q15" i="6"/>
  <c r="Q11" i="6" s="1"/>
  <c r="F16" i="7"/>
  <c r="H18" i="7" a="1"/>
  <c r="H18" i="7" s="1"/>
  <c r="E20" i="7" a="1"/>
  <c r="E20" i="7" s="1"/>
  <c r="E21" i="7" a="1"/>
  <c r="E21" i="7" s="1"/>
  <c r="F22" i="7"/>
  <c r="A22" i="9" s="1"/>
  <c r="H16" i="7" a="1"/>
  <c r="H16" i="7" s="1"/>
  <c r="E19" i="7" a="1"/>
  <c r="E19" i="7" s="1"/>
  <c r="F20" i="7"/>
  <c r="A20" i="9" s="1"/>
  <c r="F21" i="7"/>
  <c r="A21" i="9" s="1"/>
  <c r="E1" i="7" a="1"/>
  <c r="E1" i="7" s="1"/>
  <c r="E18" i="7" a="1"/>
  <c r="E18" i="7" s="1"/>
  <c r="F19" i="7"/>
  <c r="A19" i="9" s="1"/>
  <c r="H20" i="7" a="1"/>
  <c r="H20" i="7" s="1"/>
  <c r="E22" i="7" a="1"/>
  <c r="E22" i="7" s="1"/>
  <c r="H1" i="7" a="1"/>
  <c r="H1" i="7" s="1"/>
  <c r="E16" i="7" a="1"/>
  <c r="E16" i="7" s="1"/>
  <c r="F18" i="7"/>
  <c r="A18" i="9" s="1"/>
  <c r="H19" i="7" a="1"/>
  <c r="H19" i="7" s="1"/>
  <c r="H21" i="7" a="1"/>
  <c r="H21" i="7" s="1"/>
  <c r="H22" i="7" a="1"/>
  <c r="H22" i="7" s="1"/>
  <c r="F1" i="7"/>
  <c r="R15" i="6"/>
  <c r="R11" i="6" s="1"/>
  <c r="J21" i="6" s="1" a="1"/>
  <c r="J21" i="6" s="1"/>
  <c r="I16" i="7" a="1"/>
  <c r="I16" i="7" s="1"/>
  <c r="I18" i="7" a="1"/>
  <c r="I18" i="7" s="1"/>
  <c r="I22" i="7" a="1"/>
  <c r="I22" i="7" s="1"/>
  <c r="I1" i="7" a="1"/>
  <c r="I1" i="7" s="1"/>
  <c r="I19" i="7" a="1"/>
  <c r="I19" i="7" s="1"/>
  <c r="I20" i="7" a="1"/>
  <c r="I20" i="7" s="1"/>
  <c r="I21" i="7" a="1"/>
  <c r="I21" i="7" s="1"/>
  <c r="N48" i="12"/>
  <c r="L14" i="7"/>
  <c r="K14" i="7"/>
  <c r="S14" i="7"/>
  <c r="Q14" i="7"/>
  <c r="W14" i="7"/>
  <c r="U14" i="7"/>
  <c r="J14" i="7"/>
  <c r="Y14" i="7"/>
  <c r="AE31" i="10" a="1"/>
  <c r="AE31" i="10" s="1"/>
  <c r="L52" i="5"/>
  <c r="C52" i="6" s="1"/>
  <c r="I52" i="12"/>
  <c r="AM52" i="5"/>
  <c r="Z52" i="5"/>
  <c r="AB52" i="5" s="1" a="1"/>
  <c r="AB52" i="5" s="1"/>
  <c r="M31" i="10" a="1"/>
  <c r="M31" i="10" s="1"/>
  <c r="AH14" i="13"/>
  <c r="O14" i="13" s="1"/>
  <c r="AE14" i="13"/>
  <c r="M14" i="13" s="1"/>
  <c r="M19" i="13" s="1"/>
  <c r="Y31" i="10" a="1"/>
  <c r="Y31" i="10" s="1"/>
  <c r="T35" i="12"/>
  <c r="V35" i="12" a="1"/>
  <c r="V35" i="12" s="1"/>
  <c r="U35" i="12"/>
  <c r="W31" i="10" a="1"/>
  <c r="W31" i="10" s="1"/>
  <c r="L53" i="5"/>
  <c r="C53" i="6" s="1"/>
  <c r="AM53" i="5"/>
  <c r="I53" i="12"/>
  <c r="Z53" i="5"/>
  <c r="AB53" i="5" s="1" a="1"/>
  <c r="AB53" i="5" s="1"/>
  <c r="W47" i="12" a="1"/>
  <c r="W47" i="12" s="1"/>
  <c r="X47" i="12" a="1"/>
  <c r="X47" i="12" s="1"/>
  <c r="V39" i="12" a="1"/>
  <c r="V39" i="12" s="1"/>
  <c r="T39" i="12"/>
  <c r="U39" i="12"/>
  <c r="U42" i="12"/>
  <c r="V42" i="12" a="1"/>
  <c r="V42" i="12" s="1"/>
  <c r="T42" i="12"/>
  <c r="K31" i="10" a="1"/>
  <c r="K31" i="10" s="1"/>
  <c r="Y48" i="12"/>
  <c r="U31" i="10" a="1"/>
  <c r="U31" i="10" s="1"/>
  <c r="X46" i="12" a="1"/>
  <c r="X46" i="12" s="1"/>
  <c r="W46" i="12" a="1"/>
  <c r="W46" i="12" s="1"/>
  <c r="I51" i="12"/>
  <c r="Z51" i="5"/>
  <c r="AB51" i="5" s="1" a="1"/>
  <c r="AB51" i="5" s="1"/>
  <c r="L51" i="5"/>
  <c r="C51" i="6" s="1"/>
  <c r="AM51" i="5"/>
  <c r="X49" i="5" a="1"/>
  <c r="X49" i="5" s="1"/>
  <c r="I31" i="10" a="1"/>
  <c r="I31" i="10" s="1"/>
  <c r="I29" i="10" s="1" a="1"/>
  <c r="I29" i="10" s="1"/>
  <c r="O50" i="12" a="1"/>
  <c r="O50" i="12" s="1"/>
  <c r="C50" i="12"/>
  <c r="M50" i="12" a="1"/>
  <c r="M50" i="12" s="1"/>
  <c r="AO50" i="12" a="1"/>
  <c r="AO50" i="12" s="1"/>
  <c r="X55" i="5" a="1"/>
  <c r="X55" i="5" s="1"/>
  <c r="X15" i="5" s="1"/>
  <c r="AC31" i="10" a="1"/>
  <c r="AC31" i="10" s="1"/>
  <c r="AA31" i="10" a="1"/>
  <c r="AA31" i="10" s="1"/>
  <c r="I42" i="5"/>
  <c r="O41" i="5"/>
  <c r="D40" i="12"/>
  <c r="E40" i="6"/>
  <c r="S17" i="8"/>
  <c r="G17" i="8" s="1"/>
  <c r="C23" i="6"/>
  <c r="I48" i="5"/>
  <c r="O47" i="5"/>
  <c r="D46" i="12"/>
  <c r="E46" i="6"/>
  <c r="G26" i="8"/>
  <c r="J44" i="12" a="1"/>
  <c r="J44" i="12" s="1"/>
  <c r="C44" i="12"/>
  <c r="O44" i="5"/>
  <c r="C44" i="6"/>
  <c r="AO45" i="12" a="1"/>
  <c r="AO45" i="12" s="1"/>
  <c r="AO44" i="12" s="1" a="1"/>
  <c r="AO44" i="12" s="1"/>
  <c r="AB45" i="5" a="1"/>
  <c r="AB45" i="5" s="1"/>
  <c r="AB44" i="5" s="1" a="1"/>
  <c r="AB44" i="5" s="1"/>
  <c r="C45" i="6"/>
  <c r="O45" i="5"/>
  <c r="L45" i="12" a="1"/>
  <c r="L45" i="12" s="1"/>
  <c r="O45" i="12" s="1" a="1"/>
  <c r="O45" i="12" s="1"/>
  <c r="O44" i="12" s="1" a="1"/>
  <c r="O44" i="12" s="1"/>
  <c r="L44" i="12" s="1" a="1"/>
  <c r="L44" i="12" s="1"/>
  <c r="J45" i="12" a="1"/>
  <c r="J45" i="12" s="1"/>
  <c r="M45" i="12" s="1" a="1"/>
  <c r="M45" i="12" s="1"/>
  <c r="M44" i="12" s="1" a="1"/>
  <c r="M44" i="12" s="1"/>
  <c r="C45" i="12"/>
  <c r="C23" i="12"/>
  <c r="J23" i="12" a="1"/>
  <c r="J23" i="12" s="1"/>
  <c r="O23" i="12" a="1"/>
  <c r="O23" i="12" s="1"/>
  <c r="L23" i="12" s="1" a="1"/>
  <c r="L23" i="12" s="1"/>
  <c r="O33" i="12" a="1"/>
  <c r="O33" i="12" s="1"/>
  <c r="L33" i="12" s="1" a="1"/>
  <c r="L33" i="12" s="1"/>
  <c r="AB23" i="5" a="1"/>
  <c r="AB23" i="5" s="1"/>
  <c r="AB33" i="5" a="1"/>
  <c r="AB33" i="5" s="1"/>
  <c r="M23" i="12" a="1"/>
  <c r="M23" i="12" s="1"/>
  <c r="M33" i="12" a="1"/>
  <c r="M33" i="12" s="1"/>
  <c r="J33" i="12" a="1"/>
  <c r="J33" i="12" s="1"/>
  <c r="C33" i="12"/>
  <c r="AO23" i="12" a="1"/>
  <c r="AO23" i="12" s="1"/>
  <c r="AO33" i="12" a="1"/>
  <c r="AO33" i="12" s="1"/>
  <c r="O23" i="5"/>
  <c r="E23" i="6" s="1"/>
  <c r="O33" i="5"/>
  <c r="C33" i="6"/>
  <c r="G20" i="8"/>
  <c r="O17" i="5"/>
  <c r="C17" i="6"/>
  <c r="G23" i="8"/>
  <c r="J17" i="12" a="1"/>
  <c r="J17" i="12" s="1"/>
  <c r="C17" i="12"/>
  <c r="AO17" i="12" a="1"/>
  <c r="AO17" i="12" s="1"/>
  <c r="AB17" i="5" a="1"/>
  <c r="AB17" i="5" s="1"/>
  <c r="M17" i="12" a="1"/>
  <c r="M17" i="12" s="1"/>
  <c r="O17" i="12" a="1"/>
  <c r="O17" i="12" s="1"/>
  <c r="L17" i="12" s="1" a="1"/>
  <c r="L17" i="12" s="1"/>
  <c r="A17" i="9" l="1"/>
  <c r="Q29" i="10"/>
  <c r="U29" i="10"/>
  <c r="U28" i="10" s="1"/>
  <c r="S29" i="10"/>
  <c r="S28" i="10" s="1"/>
  <c r="Y50" i="12"/>
  <c r="X50" i="12" s="1" a="1"/>
  <c r="X50" i="12" s="1"/>
  <c r="N50" i="12"/>
  <c r="X16" i="5" a="1"/>
  <c r="X16" i="5" s="1"/>
  <c r="L16" i="5" s="1"/>
  <c r="AB49" i="5" a="1"/>
  <c r="AB49" i="5" s="1"/>
  <c r="I14" i="7"/>
  <c r="I32" i="10"/>
  <c r="A16" i="9"/>
  <c r="F14" i="7"/>
  <c r="G1" i="7" s="1"/>
  <c r="E14" i="7"/>
  <c r="W29" i="10"/>
  <c r="W28" i="10" s="1"/>
  <c r="AE29" i="10"/>
  <c r="AE28" i="10" s="1"/>
  <c r="A1" i="9"/>
  <c r="H14" i="7"/>
  <c r="K30" i="10"/>
  <c r="K33" i="10" s="1"/>
  <c r="S30" i="10"/>
  <c r="S33" i="10" s="1"/>
  <c r="Q30" i="10"/>
  <c r="Q33" i="10" s="1"/>
  <c r="U30" i="10"/>
  <c r="U33" i="10" s="1"/>
  <c r="Z15" i="5"/>
  <c r="W30" i="10"/>
  <c r="W33" i="10" s="1"/>
  <c r="AC30" i="10"/>
  <c r="AC33" i="10" s="1"/>
  <c r="Q28" i="10"/>
  <c r="M30" i="10"/>
  <c r="M33" i="10" s="1"/>
  <c r="O30" i="10"/>
  <c r="O33" i="10" s="1"/>
  <c r="AA30" i="10"/>
  <c r="AA33" i="10" s="1"/>
  <c r="AM15" i="5"/>
  <c r="Y30" i="10"/>
  <c r="Y33" i="10" s="1"/>
  <c r="I28" i="10"/>
  <c r="Y9" i="10" s="1"/>
  <c r="C11" i="10" s="1" a="1"/>
  <c r="C11" i="10" s="1"/>
  <c r="AE30" i="10"/>
  <c r="AE33" i="10" s="1"/>
  <c r="AA29" i="10"/>
  <c r="AA28" i="10" s="1"/>
  <c r="AO53" i="12" a="1"/>
  <c r="AO53" i="12" s="1"/>
  <c r="O53" i="12" a="1"/>
  <c r="O53" i="12" s="1"/>
  <c r="M53" i="12" a="1"/>
  <c r="M53" i="12" s="1"/>
  <c r="C53" i="12"/>
  <c r="I30" i="10"/>
  <c r="AE9" i="10" s="1"/>
  <c r="AC29" i="10"/>
  <c r="AC28" i="10" s="1"/>
  <c r="I49" i="12"/>
  <c r="AM49" i="5"/>
  <c r="S29" i="8"/>
  <c r="G29" i="8" s="1"/>
  <c r="L49" i="5"/>
  <c r="Z49" i="5"/>
  <c r="M51" i="12" a="1"/>
  <c r="M51" i="12" s="1"/>
  <c r="C51" i="12"/>
  <c r="O51" i="12" a="1"/>
  <c r="O51" i="12" s="1"/>
  <c r="AO51" i="12" a="1"/>
  <c r="AO51" i="12" s="1"/>
  <c r="X48" i="12" a="1"/>
  <c r="X48" i="12" s="1"/>
  <c r="W48" i="12" a="1"/>
  <c r="W48" i="12" s="1"/>
  <c r="O19" i="13"/>
  <c r="N14" i="13"/>
  <c r="AO52" i="12" a="1"/>
  <c r="AO52" i="12" s="1"/>
  <c r="C52" i="12"/>
  <c r="M52" i="12" a="1"/>
  <c r="M52" i="12" s="1"/>
  <c r="O52" i="12" a="1"/>
  <c r="O52" i="12" s="1"/>
  <c r="Y29" i="10"/>
  <c r="Y28" i="10" s="1"/>
  <c r="AM55" i="5"/>
  <c r="Z55" i="5"/>
  <c r="AB55" i="5" s="1" a="1"/>
  <c r="AB55" i="5" s="1"/>
  <c r="AB54" i="5" s="1" a="1"/>
  <c r="AB54" i="5" s="1"/>
  <c r="L55" i="5"/>
  <c r="C55" i="6" s="1"/>
  <c r="I55" i="12"/>
  <c r="X54" i="5" a="1"/>
  <c r="X54" i="5" s="1"/>
  <c r="S35" i="8" s="1"/>
  <c r="AC35" i="8" s="1" a="1"/>
  <c r="AC35" i="8" s="1"/>
  <c r="T46" i="12"/>
  <c r="U46" i="12"/>
  <c r="V46" i="12" a="1"/>
  <c r="V46" i="12" s="1"/>
  <c r="K29" i="10"/>
  <c r="K28" i="10" s="1"/>
  <c r="V47" i="12" a="1"/>
  <c r="V47" i="12" s="1"/>
  <c r="U47" i="12"/>
  <c r="T47" i="12"/>
  <c r="M29" i="10"/>
  <c r="M28" i="10" s="1"/>
  <c r="O29" i="10"/>
  <c r="O28" i="10" s="1"/>
  <c r="I20" i="8"/>
  <c r="I43" i="5"/>
  <c r="O43" i="5" s="1"/>
  <c r="O42" i="5"/>
  <c r="D41" i="12"/>
  <c r="E41" i="6"/>
  <c r="I49" i="5"/>
  <c r="I50" i="5" s="1"/>
  <c r="O48" i="5"/>
  <c r="D47" i="12"/>
  <c r="E47" i="6"/>
  <c r="K23" i="12"/>
  <c r="K44" i="12"/>
  <c r="K45" i="12"/>
  <c r="Y44" i="12"/>
  <c r="N44" i="12"/>
  <c r="N45" i="12"/>
  <c r="D44" i="12"/>
  <c r="E44" i="6"/>
  <c r="D45" i="12"/>
  <c r="E45" i="6"/>
  <c r="Y45" i="12"/>
  <c r="N23" i="12"/>
  <c r="I26" i="8"/>
  <c r="A26" i="8" s="1"/>
  <c r="Y23" i="12"/>
  <c r="W23" i="12" s="1" a="1"/>
  <c r="W23" i="12" s="1"/>
  <c r="T23" i="12" s="1"/>
  <c r="D23" i="12"/>
  <c r="K33" i="12"/>
  <c r="N33" i="12"/>
  <c r="D33" i="12"/>
  <c r="E33" i="6"/>
  <c r="Y33" i="12"/>
  <c r="Y17" i="12"/>
  <c r="W17" i="12" s="1" a="1"/>
  <c r="W17" i="12" s="1"/>
  <c r="N17" i="12"/>
  <c r="K17" i="12"/>
  <c r="E17" i="6"/>
  <c r="D17" i="12"/>
  <c r="I23" i="8"/>
  <c r="A23" i="8" s="1"/>
  <c r="I17" i="8"/>
  <c r="A17" i="8" s="1"/>
  <c r="G17" i="7" l="1"/>
  <c r="AF35" i="8" a="1"/>
  <c r="AF35" i="8" s="1"/>
  <c r="AD35" i="8" a="1"/>
  <c r="AD35" i="8" s="1"/>
  <c r="V35" i="8" a="1"/>
  <c r="V35" i="8" s="1"/>
  <c r="AA35" i="8" a="1"/>
  <c r="AA35" i="8" s="1"/>
  <c r="X35" i="8" a="1"/>
  <c r="X35" i="8" s="1"/>
  <c r="H35" i="8" a="1"/>
  <c r="H35" i="8" s="1"/>
  <c r="J36" i="8" s="1"/>
  <c r="H36" i="8" a="1"/>
  <c r="H36" i="8" s="1"/>
  <c r="G35" i="8"/>
  <c r="D35" i="8"/>
  <c r="Z35" i="8" a="1"/>
  <c r="Z35" i="8" s="1"/>
  <c r="AE35" i="8" a="1"/>
  <c r="AE35" i="8" s="1"/>
  <c r="W35" i="8" a="1"/>
  <c r="W35" i="8" s="1"/>
  <c r="U35" i="8" a="1"/>
  <c r="U35" i="8" s="1"/>
  <c r="E35" i="8" a="1"/>
  <c r="E35" i="8" s="1"/>
  <c r="AB35" i="8" a="1"/>
  <c r="AB35" i="8" s="1"/>
  <c r="Y35" i="8" a="1"/>
  <c r="Y35" i="8" s="1"/>
  <c r="W50" i="12" a="1"/>
  <c r="W50" i="12" s="1"/>
  <c r="T50" i="12" s="1"/>
  <c r="AB16" i="5" a="1"/>
  <c r="AB16" i="5" s="1"/>
  <c r="AB14" i="11" s="1" a="1"/>
  <c r="AB14" i="11" s="1"/>
  <c r="AB15" i="5"/>
  <c r="AD12" i="13" a="1"/>
  <c r="AD12" i="13" s="1"/>
  <c r="S14" i="8"/>
  <c r="G14" i="8" s="1"/>
  <c r="I33" i="10"/>
  <c r="I16" i="12"/>
  <c r="Z16" i="5"/>
  <c r="O14" i="11" a="1"/>
  <c r="O14" i="11" s="1"/>
  <c r="H33" i="10"/>
  <c r="AM16" i="5"/>
  <c r="AC16" i="5" a="1"/>
  <c r="AC16" i="5" s="1"/>
  <c r="O16" i="5"/>
  <c r="C16" i="6"/>
  <c r="C14" i="6"/>
  <c r="AD14" i="13" a="1"/>
  <c r="AD14" i="13" s="1"/>
  <c r="S14" i="13" s="1"/>
  <c r="M18" i="13" s="1"/>
  <c r="AG12" i="13" a="1"/>
  <c r="AG12" i="13" s="1"/>
  <c r="M49" i="12" a="1"/>
  <c r="M49" i="12" s="1"/>
  <c r="N53" i="12"/>
  <c r="AO49" i="12" a="1"/>
  <c r="AO49" i="12" s="1"/>
  <c r="N52" i="12"/>
  <c r="Y51" i="12"/>
  <c r="X51" i="12" s="1" a="1"/>
  <c r="X51" i="12" s="1"/>
  <c r="Y53" i="12"/>
  <c r="W53" i="12" s="1" a="1"/>
  <c r="W53" i="12" s="1"/>
  <c r="G16" i="7"/>
  <c r="G20" i="7"/>
  <c r="G18" i="7"/>
  <c r="G19" i="7"/>
  <c r="G22" i="7"/>
  <c r="G21" i="7"/>
  <c r="M55" i="12" a="1"/>
  <c r="M55" i="12" s="1"/>
  <c r="AO55" i="12" a="1"/>
  <c r="AO55" i="12" s="1"/>
  <c r="O55" i="12" a="1"/>
  <c r="O55" i="12" s="1"/>
  <c r="C55" i="12"/>
  <c r="V48" i="12" a="1"/>
  <c r="V48" i="12" s="1"/>
  <c r="T48" i="12"/>
  <c r="U48" i="12"/>
  <c r="Y52" i="12"/>
  <c r="W51" i="12" a="1"/>
  <c r="W51" i="12" s="1"/>
  <c r="J49" i="12" a="1"/>
  <c r="J49" i="12" s="1"/>
  <c r="C49" i="12"/>
  <c r="U50" i="12"/>
  <c r="I54" i="12"/>
  <c r="Z54" i="5"/>
  <c r="AM54" i="5"/>
  <c r="S32" i="8"/>
  <c r="G32" i="8" s="1"/>
  <c r="L54" i="5"/>
  <c r="D53" i="2" a="1"/>
  <c r="D53" i="2" s="1"/>
  <c r="N19" i="13"/>
  <c r="E33" i="14" s="1"/>
  <c r="D51" i="2" a="1"/>
  <c r="D51" i="2" s="1"/>
  <c r="D54" i="2" a="1"/>
  <c r="D54" i="2" s="1"/>
  <c r="D52" i="2" a="1"/>
  <c r="D52" i="2" s="1"/>
  <c r="F33" i="14"/>
  <c r="D47" i="2" a="1"/>
  <c r="D47" i="2" s="1"/>
  <c r="D48" i="2" a="1"/>
  <c r="D48" i="2" s="1"/>
  <c r="AD6" i="13"/>
  <c r="AE6" i="13" s="1"/>
  <c r="N51" i="12"/>
  <c r="O49" i="12" a="1"/>
  <c r="O49" i="12" s="1"/>
  <c r="AC49" i="5" a="1"/>
  <c r="AC49" i="5" s="1"/>
  <c r="O49" i="5"/>
  <c r="C49" i="6"/>
  <c r="AG14" i="13" a="1"/>
  <c r="AG14" i="13" s="1"/>
  <c r="U14" i="13" s="1"/>
  <c r="AD4" i="13" s="1"/>
  <c r="D43" i="12"/>
  <c r="E43" i="6"/>
  <c r="E42" i="6"/>
  <c r="D42" i="12"/>
  <c r="AC12" i="13" a="1"/>
  <c r="AC12" i="13" s="1"/>
  <c r="AF12" i="13" a="1"/>
  <c r="AF12" i="13" s="1"/>
  <c r="I51" i="5"/>
  <c r="O50" i="5"/>
  <c r="E48" i="6"/>
  <c r="D48" i="12"/>
  <c r="X45" i="12" a="1"/>
  <c r="X45" i="12" s="1"/>
  <c r="W45" i="12" a="1"/>
  <c r="W45" i="12" s="1"/>
  <c r="X44" i="12" a="1"/>
  <c r="X44" i="12" s="1"/>
  <c r="W44" i="12" a="1"/>
  <c r="W44" i="12" s="1"/>
  <c r="V23" i="12" a="1"/>
  <c r="V23" i="12" s="1"/>
  <c r="X23" i="12" a="1"/>
  <c r="X23" i="12" s="1"/>
  <c r="U23" i="12"/>
  <c r="W33" i="12" a="1"/>
  <c r="W33" i="12" s="1"/>
  <c r="X33" i="12" a="1"/>
  <c r="X33" i="12" s="1"/>
  <c r="X17" i="12" a="1"/>
  <c r="X17" i="12" s="1"/>
  <c r="V17" i="12" a="1"/>
  <c r="V17" i="12" s="1"/>
  <c r="U17" i="12"/>
  <c r="T17" i="12"/>
  <c r="N14" i="11"/>
  <c r="N15" i="11" s="1"/>
  <c r="AB15" i="11"/>
  <c r="X53" i="12" l="1" a="1"/>
  <c r="X53" i="12" s="1"/>
  <c r="V50" i="12" a="1"/>
  <c r="V50" i="12" s="1"/>
  <c r="C16" i="12"/>
  <c r="J16" i="12" a="1"/>
  <c r="J16" i="12" s="1"/>
  <c r="D46" i="2"/>
  <c r="P14" i="11"/>
  <c r="G11" i="11" s="1"/>
  <c r="O15" i="11"/>
  <c r="N16" i="11" s="1"/>
  <c r="C14" i="11"/>
  <c r="L14" i="13"/>
  <c r="E14" i="6"/>
  <c r="I14" i="8"/>
  <c r="D16" i="12"/>
  <c r="E16" i="6"/>
  <c r="F6" i="7"/>
  <c r="V51" i="12" a="1"/>
  <c r="V51" i="12" s="1"/>
  <c r="T51" i="12"/>
  <c r="U51" i="12"/>
  <c r="N55" i="12"/>
  <c r="O54" i="12" a="1"/>
  <c r="O54" i="12" s="1"/>
  <c r="D49" i="12"/>
  <c r="E49" i="6"/>
  <c r="I29" i="8"/>
  <c r="A29" i="8" s="1"/>
  <c r="V53" i="12" a="1"/>
  <c r="V53" i="12" s="1"/>
  <c r="T53" i="12"/>
  <c r="U53" i="12"/>
  <c r="AC54" i="5" a="1"/>
  <c r="AC54" i="5" s="1"/>
  <c r="C54" i="6"/>
  <c r="O54" i="5"/>
  <c r="I35" i="8" s="1"/>
  <c r="A35" i="8" s="1"/>
  <c r="C54" i="12"/>
  <c r="J54" i="12" a="1"/>
  <c r="J54" i="12" s="1"/>
  <c r="X52" i="12" a="1"/>
  <c r="X52" i="12" s="1"/>
  <c r="W52" i="12" a="1"/>
  <c r="W52" i="12" s="1"/>
  <c r="M54" i="12" a="1"/>
  <c r="M54" i="12" s="1"/>
  <c r="M16" i="12" a="1"/>
  <c r="M16" i="12" s="1"/>
  <c r="Y55" i="12"/>
  <c r="AO54" i="12" a="1"/>
  <c r="AO54" i="12" s="1"/>
  <c r="L49" i="12" a="1"/>
  <c r="L49" i="12" s="1"/>
  <c r="K49" i="12" s="1"/>
  <c r="Y49" i="12"/>
  <c r="N49" i="12"/>
  <c r="D50" i="2"/>
  <c r="AO16" i="12" a="1"/>
  <c r="AO16" i="12" s="1"/>
  <c r="O16" i="12" a="1"/>
  <c r="O16" i="12" s="1"/>
  <c r="I52" i="5"/>
  <c r="O51" i="5"/>
  <c r="D50" i="12"/>
  <c r="E50" i="6"/>
  <c r="AE4" i="13"/>
  <c r="O18" i="13" s="1"/>
  <c r="V45" i="12" a="1"/>
  <c r="V45" i="12" s="1"/>
  <c r="U45" i="12"/>
  <c r="T45" i="12"/>
  <c r="T44" i="12"/>
  <c r="V44" i="12" a="1"/>
  <c r="V44" i="12" s="1"/>
  <c r="U44" i="12"/>
  <c r="V33" i="12" a="1"/>
  <c r="V33" i="12" s="1"/>
  <c r="U33" i="12"/>
  <c r="T33" i="12"/>
  <c r="L18" i="13"/>
  <c r="D1" i="2" l="1"/>
  <c r="O16" i="11"/>
  <c r="AA7" i="11"/>
  <c r="L19" i="13"/>
  <c r="P14" i="13"/>
  <c r="D14" i="13"/>
  <c r="V14" i="13"/>
  <c r="Y54" i="12"/>
  <c r="X54" i="12" s="1" a="1"/>
  <c r="X54" i="12" s="1"/>
  <c r="AB7" i="11"/>
  <c r="Y16" i="12"/>
  <c r="X16" i="12" s="1" a="1"/>
  <c r="X16" i="12" s="1"/>
  <c r="L16" i="12" a="1"/>
  <c r="L16" i="12" s="1"/>
  <c r="K16" i="12" s="1"/>
  <c r="N16" i="12"/>
  <c r="X49" i="12" a="1"/>
  <c r="X49" i="12" s="1"/>
  <c r="W49" i="12" a="1"/>
  <c r="W49" i="12" s="1"/>
  <c r="V52" i="12" a="1"/>
  <c r="V52" i="12" s="1"/>
  <c r="T52" i="12"/>
  <c r="U52" i="12"/>
  <c r="D54" i="12"/>
  <c r="E54" i="6"/>
  <c r="I32" i="8"/>
  <c r="A32" i="8" s="1"/>
  <c r="S35" i="10"/>
  <c r="J66" i="12"/>
  <c r="W55" i="12" a="1"/>
  <c r="W55" i="12" s="1"/>
  <c r="X55" i="12" a="1"/>
  <c r="X55" i="12" s="1"/>
  <c r="L54" i="12" a="1"/>
  <c r="L54" i="12" s="1"/>
  <c r="K54" i="12" s="1"/>
  <c r="N54" i="12"/>
  <c r="I53" i="5"/>
  <c r="O52" i="5"/>
  <c r="E51" i="6"/>
  <c r="D51" i="12"/>
  <c r="F32" i="14"/>
  <c r="N18" i="13"/>
  <c r="D32" i="14"/>
  <c r="AD18" i="13"/>
  <c r="AC18" i="13"/>
  <c r="W54" i="12" l="1" a="1"/>
  <c r="W54" i="12" s="1"/>
  <c r="V54" i="12" s="1" a="1"/>
  <c r="V54" i="12" s="1"/>
  <c r="Z3" i="11"/>
  <c r="AA3" i="11" s="1" a="1"/>
  <c r="AA3" i="11" s="1"/>
  <c r="L15" i="13"/>
  <c r="P15" i="13"/>
  <c r="D33" i="14"/>
  <c r="O15" i="13"/>
  <c r="M15" i="13"/>
  <c r="O20" i="13"/>
  <c r="N15" i="13"/>
  <c r="E34" i="14"/>
  <c r="W16" i="12" a="1"/>
  <c r="W16" i="12" s="1"/>
  <c r="T16" i="12" s="1"/>
  <c r="T49" i="12"/>
  <c r="U49" i="12"/>
  <c r="V49" i="12" a="1"/>
  <c r="V49" i="12" s="1"/>
  <c r="T55" i="12"/>
  <c r="U55" i="12"/>
  <c r="V55" i="12" a="1"/>
  <c r="V55" i="12" s="1"/>
  <c r="O53" i="5"/>
  <c r="D52" i="12"/>
  <c r="E52" i="6"/>
  <c r="E32" i="14"/>
  <c r="AD12" i="11" l="1"/>
  <c r="AA22" i="5" a="1"/>
  <c r="AA22" i="5" s="1"/>
  <c r="AA21" i="5" s="1" a="1"/>
  <c r="AA21" i="5" s="1"/>
  <c r="U16" i="12"/>
  <c r="T54" i="12"/>
  <c r="U54" i="12"/>
  <c r="AA45" i="5" a="1"/>
  <c r="AA45" i="5" s="1"/>
  <c r="AA25" i="5" a="1"/>
  <c r="AA25" i="5" s="1"/>
  <c r="AA46" i="5" a="1"/>
  <c r="AA46" i="5" s="1"/>
  <c r="AA36" i="5" a="1"/>
  <c r="AA36" i="5" s="1"/>
  <c r="AA20" i="5" a="1"/>
  <c r="AA20" i="5" s="1"/>
  <c r="AA24" i="5" a="1"/>
  <c r="AA24" i="5" s="1"/>
  <c r="AA35" i="5" a="1"/>
  <c r="AA35" i="5" s="1"/>
  <c r="AA47" i="5" a="1"/>
  <c r="AA47" i="5" s="1"/>
  <c r="AA28" i="5" a="1"/>
  <c r="AA28" i="5" s="1"/>
  <c r="AA26" i="5" a="1"/>
  <c r="AA26" i="5" s="1"/>
  <c r="AA55" i="5" a="1"/>
  <c r="AA55" i="5" s="1"/>
  <c r="AA54" i="5" s="1" a="1"/>
  <c r="AA54" i="5" s="1"/>
  <c r="C35" i="8" s="1"/>
  <c r="AA42" i="5" a="1"/>
  <c r="AA42" i="5" s="1"/>
  <c r="AA18" i="5" a="1"/>
  <c r="AA18" i="5" s="1"/>
  <c r="AA39" i="5" a="1"/>
  <c r="AA39" i="5" s="1"/>
  <c r="AA34" i="5" a="1"/>
  <c r="AA34" i="5" s="1"/>
  <c r="AA30" i="5" a="1"/>
  <c r="AA30" i="5" s="1"/>
  <c r="AA50" i="5" a="1"/>
  <c r="AA50" i="5" s="1"/>
  <c r="AA32" i="5" a="1"/>
  <c r="AA32" i="5" s="1"/>
  <c r="AA51" i="5" a="1"/>
  <c r="AA51" i="5" s="1"/>
  <c r="AA29" i="5" a="1"/>
  <c r="AA29" i="5" s="1"/>
  <c r="AA40" i="5" a="1"/>
  <c r="AA40" i="5" s="1"/>
  <c r="AA41" i="5" a="1"/>
  <c r="AA41" i="5" s="1"/>
  <c r="AA27" i="5" a="1"/>
  <c r="AA27" i="5" s="1"/>
  <c r="AA48" i="5" a="1"/>
  <c r="AA48" i="5" s="1"/>
  <c r="AA31" i="5" a="1"/>
  <c r="AA31" i="5" s="1"/>
  <c r="AA37" i="5" a="1"/>
  <c r="AA37" i="5" s="1"/>
  <c r="AA43" i="5" a="1"/>
  <c r="AA43" i="5" s="1"/>
  <c r="AA19" i="5" a="1"/>
  <c r="AA19" i="5" s="1"/>
  <c r="AA52" i="5" a="1"/>
  <c r="AA52" i="5" s="1"/>
  <c r="AA38" i="5" a="1"/>
  <c r="AA38" i="5" s="1"/>
  <c r="AD14" i="11"/>
  <c r="AA53" i="5" a="1"/>
  <c r="AA53" i="5" s="1"/>
  <c r="F34" i="14"/>
  <c r="G10" i="13"/>
  <c r="V16" i="12" a="1"/>
  <c r="V16" i="12" s="1"/>
  <c r="E53" i="6"/>
  <c r="D53" i="12"/>
  <c r="AE12" i="11" l="1"/>
  <c r="M12" i="11" s="1"/>
  <c r="L12" i="11" s="1"/>
  <c r="AA16" i="5" a="1"/>
  <c r="AA16" i="5" s="1"/>
  <c r="AA33" i="5" a="1"/>
  <c r="AA33" i="5" s="1"/>
  <c r="AA23" i="5" a="1"/>
  <c r="AA23" i="5" s="1"/>
  <c r="AA49" i="5" a="1"/>
  <c r="AA49" i="5" s="1"/>
  <c r="AA15" i="5"/>
  <c r="AA17" i="5" a="1"/>
  <c r="AA17" i="5" s="1"/>
  <c r="AA44" i="5" a="1"/>
  <c r="AA44" i="5" s="1"/>
  <c r="AA14" i="11" l="1" a="1"/>
  <c r="AA14" i="11" s="1"/>
  <c r="AC14" i="13" a="1"/>
  <c r="AC14" i="13" s="1"/>
  <c r="R14" i="13" s="1"/>
  <c r="M17" i="13" s="1"/>
  <c r="AF14" i="13" a="1"/>
  <c r="AF14" i="13" s="1"/>
  <c r="T14" i="13" s="1"/>
  <c r="AD3" i="13" s="1"/>
  <c r="AD2" i="13" s="1"/>
  <c r="M16" i="13" l="1"/>
  <c r="AE3" i="13"/>
  <c r="AA15" i="11"/>
  <c r="Z14" i="11"/>
  <c r="Z15" i="11" s="1"/>
  <c r="AE14" i="11" s="1"/>
  <c r="M14" i="11" s="1"/>
  <c r="M15" i="11" l="1"/>
  <c r="L14" i="11"/>
  <c r="L15" i="11" s="1"/>
  <c r="O17" i="13"/>
  <c r="AE2" i="13"/>
  <c r="N17" i="13" l="1"/>
  <c r="E31" i="14" s="1"/>
  <c r="F31" i="14"/>
  <c r="O16" i="13"/>
  <c r="L16" i="13"/>
  <c r="D30" i="14" s="1"/>
  <c r="L10" i="11"/>
  <c r="M10" i="13" s="1"/>
  <c r="L16" i="11"/>
  <c r="L17" i="13"/>
  <c r="M16" i="11"/>
  <c r="M10" i="11"/>
  <c r="N10" i="13" s="1"/>
  <c r="N14" i="8"/>
  <c r="R14" i="8" s="1"/>
  <c r="G9" i="11" l="1"/>
  <c r="D31" i="14"/>
  <c r="AC17" i="13"/>
  <c r="AD17" i="13"/>
  <c r="N16" i="13"/>
  <c r="E30" i="14" s="1"/>
  <c r="F30" i="14"/>
  <c r="H14" i="8" a="1"/>
  <c r="H14" i="8" s="1"/>
  <c r="J15" i="8" s="1"/>
  <c r="H15" i="8" a="1"/>
  <c r="H15" i="8" s="1"/>
  <c r="D14" i="8"/>
  <c r="C14" i="8"/>
  <c r="F16" i="8"/>
  <c r="N17" i="8" l="1"/>
  <c r="N20" i="8"/>
  <c r="N32" i="8"/>
  <c r="N23" i="8"/>
  <c r="N26" i="8"/>
  <c r="N29" i="8"/>
  <c r="I54" i="5" l="1"/>
  <c r="I55" i="5" s="1"/>
  <c r="O55" i="5" l="1"/>
  <c r="D55" i="12" l="1"/>
  <c r="E55" i="6"/>
  <c r="O32" i="8" l="1"/>
  <c r="R32" i="8" s="1"/>
  <c r="O26" i="8"/>
  <c r="R26" i="8" s="1"/>
  <c r="O29" i="8"/>
  <c r="R29" i="8" s="1"/>
  <c r="O20" i="8"/>
  <c r="R20" i="8" s="1"/>
  <c r="O23" i="8"/>
  <c r="R23" i="8" s="1"/>
  <c r="O17" i="8"/>
  <c r="R17" i="8" s="1"/>
  <c r="R39" i="8"/>
  <c r="I39" i="8" s="1"/>
  <c r="H32" i="8" l="1" a="1"/>
  <c r="H32" i="8" s="1"/>
  <c r="J33" i="8" s="1"/>
  <c r="H33" i="8" a="1"/>
  <c r="H33" i="8" s="1"/>
  <c r="H29" i="8" a="1"/>
  <c r="H29" i="8" s="1"/>
  <c r="J30" i="8" s="1"/>
  <c r="H30" i="8" a="1"/>
  <c r="H30" i="8" s="1"/>
  <c r="F28" i="8"/>
  <c r="AD28" i="8" s="1" a="1"/>
  <c r="AD28" i="8" s="1"/>
  <c r="AD26" i="8" s="1" a="1"/>
  <c r="AD26" i="8" s="1"/>
  <c r="H27" i="8" a="1"/>
  <c r="H27" i="8" s="1"/>
  <c r="H26" i="8" a="1"/>
  <c r="H26" i="8" s="1"/>
  <c r="J27" i="8" s="1"/>
  <c r="H23" i="8" a="1"/>
  <c r="H23" i="8" s="1"/>
  <c r="J24" i="8" s="1"/>
  <c r="H24" i="8" a="1"/>
  <c r="H24" i="8" s="1"/>
  <c r="D20" i="8"/>
  <c r="H21" i="8" a="1"/>
  <c r="H21" i="8" s="1"/>
  <c r="H20" i="8" a="1"/>
  <c r="H20" i="8" s="1"/>
  <c r="J21" i="8" s="1"/>
  <c r="H17" i="8" a="1"/>
  <c r="H17" i="8" s="1"/>
  <c r="J18" i="8" s="1"/>
  <c r="H18" i="8" a="1"/>
  <c r="H18" i="8" s="1"/>
  <c r="C32" i="8"/>
  <c r="F34" i="8"/>
  <c r="AC34" i="8" s="1" a="1"/>
  <c r="AC34" i="8" s="1"/>
  <c r="AC32" i="8" s="1" a="1"/>
  <c r="AC32" i="8" s="1"/>
  <c r="D32" i="8"/>
  <c r="C26" i="8"/>
  <c r="D26" i="8"/>
  <c r="C29" i="8"/>
  <c r="D29" i="8"/>
  <c r="F31" i="8"/>
  <c r="X31" i="8" s="1" a="1"/>
  <c r="X31" i="8" s="1"/>
  <c r="X29" i="8" s="1" a="1"/>
  <c r="X29" i="8" s="1"/>
  <c r="C20" i="8"/>
  <c r="F22" i="8"/>
  <c r="X22" i="8" s="1" a="1"/>
  <c r="X22" i="8" s="1"/>
  <c r="X20" i="8" s="1" a="1"/>
  <c r="X20" i="8" s="1"/>
  <c r="F25" i="8"/>
  <c r="AD25" i="8" s="1" a="1"/>
  <c r="AD25" i="8" s="1"/>
  <c r="AD23" i="8" s="1" a="1"/>
  <c r="AD23" i="8" s="1"/>
  <c r="D23" i="8"/>
  <c r="C23" i="8"/>
  <c r="D17" i="8"/>
  <c r="C17" i="8"/>
  <c r="F19" i="8"/>
  <c r="U28" i="8" l="1" a="1"/>
  <c r="U28" i="8" s="1"/>
  <c r="U26" i="8" s="1" a="1"/>
  <c r="U26" i="8" s="1"/>
  <c r="AA28" i="8" a="1"/>
  <c r="AA28" i="8" s="1"/>
  <c r="AA26" i="8" s="1" a="1"/>
  <c r="AA26" i="8" s="1"/>
  <c r="AB28" i="8" a="1"/>
  <c r="AB28" i="8" s="1"/>
  <c r="AB26" i="8" s="1" a="1"/>
  <c r="AB26" i="8" s="1"/>
  <c r="Y28" i="8" a="1"/>
  <c r="Y28" i="8" s="1"/>
  <c r="Y26" i="8" s="1" a="1"/>
  <c r="Y26" i="8" s="1"/>
  <c r="E28" i="8" a="1"/>
  <c r="E28" i="8" s="1"/>
  <c r="E26" i="8" s="1" a="1"/>
  <c r="E26" i="8" s="1"/>
  <c r="AC28" i="8" a="1"/>
  <c r="AC28" i="8" s="1"/>
  <c r="AC26" i="8" s="1" a="1"/>
  <c r="AC26" i="8" s="1"/>
  <c r="AE28" i="8" a="1"/>
  <c r="AE28" i="8" s="1"/>
  <c r="AE26" i="8" s="1" a="1"/>
  <c r="AE26" i="8" s="1"/>
  <c r="W28" i="8" a="1"/>
  <c r="W28" i="8" s="1"/>
  <c r="W26" i="8" s="1" a="1"/>
  <c r="W26" i="8" s="1"/>
  <c r="V28" i="8" a="1"/>
  <c r="V28" i="8" s="1"/>
  <c r="V26" i="8" s="1" a="1"/>
  <c r="V26" i="8" s="1"/>
  <c r="Z28" i="8" a="1"/>
  <c r="Z28" i="8" s="1"/>
  <c r="Z26" i="8" s="1" a="1"/>
  <c r="Z26" i="8" s="1"/>
  <c r="X28" i="8" a="1"/>
  <c r="X28" i="8" s="1"/>
  <c r="X26" i="8" s="1" a="1"/>
  <c r="X26" i="8" s="1"/>
  <c r="AF28" i="8" a="1"/>
  <c r="AF28" i="8" s="1"/>
  <c r="AF26" i="8" s="1" a="1"/>
  <c r="AF26" i="8" s="1"/>
  <c r="V34" i="8" a="1"/>
  <c r="V34" i="8" s="1"/>
  <c r="V32" i="8" s="1" a="1"/>
  <c r="V32" i="8" s="1"/>
  <c r="AD34" i="8" a="1"/>
  <c r="AD34" i="8" s="1"/>
  <c r="AD32" i="8" s="1" a="1"/>
  <c r="AD32" i="8" s="1"/>
  <c r="U34" i="8" a="1"/>
  <c r="U34" i="8" s="1"/>
  <c r="U32" i="8" s="1" a="1"/>
  <c r="U32" i="8" s="1"/>
  <c r="Y34" i="8" a="1"/>
  <c r="Y34" i="8" s="1"/>
  <c r="Y32" i="8" s="1" a="1"/>
  <c r="Y32" i="8" s="1"/>
  <c r="AA34" i="8" a="1"/>
  <c r="AA34" i="8" s="1"/>
  <c r="AA32" i="8" s="1" a="1"/>
  <c r="AA32" i="8" s="1"/>
  <c r="AE34" i="8" a="1"/>
  <c r="AE34" i="8" s="1"/>
  <c r="AE32" i="8" s="1" a="1"/>
  <c r="AE32" i="8" s="1"/>
  <c r="AF34" i="8" a="1"/>
  <c r="AF34" i="8" s="1"/>
  <c r="AF32" i="8" s="1" a="1"/>
  <c r="AF32" i="8" s="1"/>
  <c r="W34" i="8" a="1"/>
  <c r="W34" i="8" s="1"/>
  <c r="W32" i="8" s="1" a="1"/>
  <c r="W32" i="8" s="1"/>
  <c r="Z34" i="8" a="1"/>
  <c r="Z34" i="8" s="1"/>
  <c r="Z32" i="8" s="1" a="1"/>
  <c r="Z32" i="8" s="1"/>
  <c r="E34" i="8" a="1"/>
  <c r="E34" i="8" s="1"/>
  <c r="E32" i="8" s="1" a="1"/>
  <c r="E32" i="8" s="1"/>
  <c r="AB34" i="8" a="1"/>
  <c r="AB34" i="8" s="1"/>
  <c r="AB32" i="8" s="1" a="1"/>
  <c r="AB32" i="8" s="1"/>
  <c r="X34" i="8" a="1"/>
  <c r="X34" i="8" s="1"/>
  <c r="X32" i="8" s="1" a="1"/>
  <c r="X32" i="8" s="1"/>
  <c r="AD31" i="8" a="1"/>
  <c r="AD31" i="8" s="1"/>
  <c r="AD29" i="8" s="1" a="1"/>
  <c r="AD29" i="8" s="1"/>
  <c r="Z22" i="8" a="1"/>
  <c r="Z22" i="8" s="1"/>
  <c r="Z20" i="8" s="1" a="1"/>
  <c r="Z20" i="8" s="1"/>
  <c r="AE31" i="8" a="1"/>
  <c r="AE31" i="8" s="1"/>
  <c r="AE29" i="8" s="1" a="1"/>
  <c r="AE29" i="8" s="1"/>
  <c r="AB31" i="8" a="1"/>
  <c r="AB31" i="8" s="1"/>
  <c r="AB29" i="8" s="1" a="1"/>
  <c r="AB29" i="8" s="1"/>
  <c r="AB25" i="8" a="1"/>
  <c r="AB25" i="8" s="1"/>
  <c r="AB23" i="8" s="1" a="1"/>
  <c r="AB23" i="8" s="1"/>
  <c r="Y31" i="8" a="1"/>
  <c r="Y31" i="8" s="1"/>
  <c r="Y29" i="8" s="1" a="1"/>
  <c r="Y29" i="8" s="1"/>
  <c r="AA31" i="8" a="1"/>
  <c r="AA31" i="8" s="1"/>
  <c r="AA29" i="8" s="1" a="1"/>
  <c r="AA29" i="8" s="1"/>
  <c r="W31" i="8" a="1"/>
  <c r="W31" i="8" s="1"/>
  <c r="W29" i="8" s="1" a="1"/>
  <c r="W29" i="8" s="1"/>
  <c r="AF31" i="8" a="1"/>
  <c r="AF31" i="8" s="1"/>
  <c r="AF29" i="8" s="1" a="1"/>
  <c r="AF29" i="8" s="1"/>
  <c r="AC31" i="8" a="1"/>
  <c r="AC31" i="8" s="1"/>
  <c r="AC29" i="8" s="1" a="1"/>
  <c r="AC29" i="8" s="1"/>
  <c r="U31" i="8" a="1"/>
  <c r="U31" i="8" s="1"/>
  <c r="U29" i="8" s="1" a="1"/>
  <c r="U29" i="8" s="1"/>
  <c r="V31" i="8" a="1"/>
  <c r="V31" i="8" s="1"/>
  <c r="V29" i="8" s="1" a="1"/>
  <c r="V29" i="8" s="1"/>
  <c r="E31" i="8" a="1"/>
  <c r="E31" i="8" s="1"/>
  <c r="E29" i="8" s="1" a="1"/>
  <c r="E29" i="8" s="1"/>
  <c r="Z31" i="8" a="1"/>
  <c r="Z31" i="8" s="1"/>
  <c r="Z29" i="8" s="1" a="1"/>
  <c r="Z29" i="8" s="1"/>
  <c r="AE22" i="8" a="1"/>
  <c r="AE22" i="8" s="1"/>
  <c r="AE20" i="8" s="1" a="1"/>
  <c r="AE20" i="8" s="1"/>
  <c r="V22" i="8" a="1"/>
  <c r="V22" i="8" s="1"/>
  <c r="V20" i="8" s="1" a="1"/>
  <c r="V20" i="8" s="1"/>
  <c r="W22" i="8" a="1"/>
  <c r="W22" i="8" s="1"/>
  <c r="W20" i="8" s="1" a="1"/>
  <c r="W20" i="8" s="1"/>
  <c r="AB22" i="8" a="1"/>
  <c r="AB22" i="8" s="1"/>
  <c r="AB20" i="8" s="1" a="1"/>
  <c r="AB20" i="8" s="1"/>
  <c r="U25" i="8" a="1"/>
  <c r="U25" i="8" s="1"/>
  <c r="U23" i="8" s="1" a="1"/>
  <c r="U23" i="8" s="1"/>
  <c r="E22" i="8" a="1"/>
  <c r="E22" i="8" s="1"/>
  <c r="E20" i="8" s="1" a="1"/>
  <c r="E20" i="8" s="1"/>
  <c r="Z25" i="8" a="1"/>
  <c r="Z25" i="8" s="1"/>
  <c r="Z23" i="8" s="1" a="1"/>
  <c r="Z23" i="8" s="1"/>
  <c r="X25" i="8" a="1"/>
  <c r="X25" i="8" s="1"/>
  <c r="X23" i="8" s="1" a="1"/>
  <c r="X23" i="8" s="1"/>
  <c r="E25" i="8" a="1"/>
  <c r="E25" i="8" s="1"/>
  <c r="E23" i="8" s="1" a="1"/>
  <c r="E23" i="8" s="1"/>
  <c r="AC25" i="8" a="1"/>
  <c r="AC25" i="8" s="1"/>
  <c r="AC23" i="8" s="1" a="1"/>
  <c r="AC23" i="8" s="1"/>
  <c r="Y25" i="8" a="1"/>
  <c r="Y25" i="8" s="1"/>
  <c r="Y23" i="8" s="1" a="1"/>
  <c r="Y23" i="8" s="1"/>
  <c r="AD22" i="8" a="1"/>
  <c r="AD22" i="8" s="1"/>
  <c r="AD20" i="8" s="1" a="1"/>
  <c r="AD20" i="8" s="1"/>
  <c r="AF22" i="8" a="1"/>
  <c r="AF22" i="8" s="1"/>
  <c r="AF20" i="8" s="1" a="1"/>
  <c r="AF20" i="8" s="1"/>
  <c r="U22" i="8" a="1"/>
  <c r="U22" i="8" s="1"/>
  <c r="U20" i="8" s="1" a="1"/>
  <c r="U20" i="8" s="1"/>
  <c r="Y22" i="8" a="1"/>
  <c r="Y22" i="8" s="1"/>
  <c r="Y20" i="8" s="1" a="1"/>
  <c r="Y20" i="8" s="1"/>
  <c r="AA22" i="8" a="1"/>
  <c r="AA22" i="8" s="1"/>
  <c r="AA20" i="8" s="1" a="1"/>
  <c r="AA20" i="8" s="1"/>
  <c r="AC22" i="8" a="1"/>
  <c r="AC22" i="8" s="1"/>
  <c r="AC20" i="8" s="1" a="1"/>
  <c r="AC20" i="8" s="1"/>
  <c r="V25" i="8" a="1"/>
  <c r="V25" i="8" s="1"/>
  <c r="V23" i="8" s="1" a="1"/>
  <c r="V23" i="8" s="1"/>
  <c r="AE25" i="8" a="1"/>
  <c r="AE25" i="8" s="1"/>
  <c r="AE23" i="8" s="1" a="1"/>
  <c r="AE23" i="8" s="1"/>
  <c r="Y19" i="8" a="1"/>
  <c r="Y19" i="8" s="1"/>
  <c r="W25" i="8" a="1"/>
  <c r="W25" i="8" s="1"/>
  <c r="W23" i="8" s="1" a="1"/>
  <c r="W23" i="8" s="1"/>
  <c r="AA25" i="8" a="1"/>
  <c r="AA25" i="8" s="1"/>
  <c r="AA23" i="8" s="1" a="1"/>
  <c r="AA23" i="8" s="1"/>
  <c r="X19" i="8" a="1"/>
  <c r="X19" i="8" s="1"/>
  <c r="AF25" i="8" a="1"/>
  <c r="AF25" i="8" s="1"/>
  <c r="AF23" i="8" s="1" a="1"/>
  <c r="AF23" i="8" s="1"/>
  <c r="AB19" i="8" a="1"/>
  <c r="AB19" i="8" s="1"/>
  <c r="E19" i="8" a="1"/>
  <c r="E19" i="8" s="1"/>
  <c r="U19" i="8" a="1"/>
  <c r="U19" i="8" s="1"/>
  <c r="AD19" i="8" a="1"/>
  <c r="AD19" i="8" s="1"/>
  <c r="Z19" i="8" a="1"/>
  <c r="Z19" i="8" s="1"/>
  <c r="AA19" i="8" a="1"/>
  <c r="AA19" i="8" s="1"/>
  <c r="AE19" i="8" l="1" a="1"/>
  <c r="AE19" i="8" s="1"/>
  <c r="AE17" i="8" s="1" a="1"/>
  <c r="AE17" i="8" s="1"/>
  <c r="W19" i="8" a="1"/>
  <c r="W19" i="8" s="1"/>
  <c r="W17" i="8" s="1" a="1"/>
  <c r="W17" i="8" s="1"/>
  <c r="AF19" i="8" a="1"/>
  <c r="AF19" i="8" s="1"/>
  <c r="AF17" i="8" s="1" a="1"/>
  <c r="AF17" i="8" s="1"/>
  <c r="V19" i="8" a="1"/>
  <c r="V19" i="8" s="1"/>
  <c r="V16" i="8" s="1" a="1"/>
  <c r="V16" i="8" s="1"/>
  <c r="AC19" i="8" a="1"/>
  <c r="AC19" i="8" s="1"/>
  <c r="AC17" i="8" s="1" a="1"/>
  <c r="AC17" i="8" s="1"/>
  <c r="Z16" i="8" a="1"/>
  <c r="Z16" i="8" s="1"/>
  <c r="Z14" i="8" s="1" a="1"/>
  <c r="Z14" i="8" s="1"/>
  <c r="U16" i="8" a="1"/>
  <c r="U16" i="8" s="1"/>
  <c r="U14" i="8" s="1" a="1"/>
  <c r="U14" i="8" s="1"/>
  <c r="X16" i="8" a="1"/>
  <c r="X16" i="8" s="1"/>
  <c r="X14" i="8" s="1" a="1"/>
  <c r="X14" i="8" s="1"/>
  <c r="AB16" i="8" a="1"/>
  <c r="AB16" i="8" s="1"/>
  <c r="AB14" i="8" s="1" a="1"/>
  <c r="AB14" i="8" s="1"/>
  <c r="Y16" i="8" a="1"/>
  <c r="Y16" i="8" s="1"/>
  <c r="Y14" i="8" s="1" a="1"/>
  <c r="Y14" i="8" s="1"/>
  <c r="AD16" i="8" a="1"/>
  <c r="AD16" i="8" s="1"/>
  <c r="AD14" i="8" s="1" a="1"/>
  <c r="AD14" i="8" s="1"/>
  <c r="Y17" i="8" a="1"/>
  <c r="Y17" i="8" s="1"/>
  <c r="AB17" i="8" a="1"/>
  <c r="AB17" i="8" s="1"/>
  <c r="X17" i="8" a="1"/>
  <c r="X17" i="8" s="1"/>
  <c r="AD17" i="8" a="1"/>
  <c r="AD17" i="8" s="1"/>
  <c r="Z17" i="8" a="1"/>
  <c r="Z17" i="8" s="1"/>
  <c r="U17" i="8" a="1"/>
  <c r="U17" i="8" s="1"/>
  <c r="AA16" i="8" a="1"/>
  <c r="AA16" i="8" s="1"/>
  <c r="AA14" i="8" s="1" a="1"/>
  <c r="AA14" i="8" s="1"/>
  <c r="AA17" i="8" a="1"/>
  <c r="AA17" i="8" s="1"/>
  <c r="E16" i="8" a="1"/>
  <c r="E16" i="8" s="1"/>
  <c r="E17" i="8" a="1"/>
  <c r="E17" i="8" s="1"/>
  <c r="AF16" i="8" l="1" a="1"/>
  <c r="AF16" i="8" s="1"/>
  <c r="AF14" i="8" s="1" a="1"/>
  <c r="AF14" i="8" s="1"/>
  <c r="AC16" i="8" a="1"/>
  <c r="AC16" i="8" s="1"/>
  <c r="AC14" i="8" s="1" a="1"/>
  <c r="AC14" i="8" s="1"/>
  <c r="V17" i="8" a="1"/>
  <c r="V17" i="8" s="1"/>
  <c r="AE16" i="8" a="1"/>
  <c r="AE16" i="8" s="1"/>
  <c r="AE14" i="8" s="1" a="1"/>
  <c r="AE14" i="8" s="1"/>
  <c r="W16" i="8" a="1"/>
  <c r="W16" i="8" s="1"/>
  <c r="W14" i="8" s="1" a="1"/>
  <c r="W14" i="8" s="1"/>
  <c r="U48" i="8"/>
  <c r="U44" i="8" s="1"/>
  <c r="E46" i="8" a="1"/>
  <c r="E46" i="8" s="1"/>
  <c r="E41" i="8" s="1"/>
  <c r="E14" i="8" a="1"/>
  <c r="E14" i="8" s="1"/>
  <c r="E48" i="8"/>
  <c r="E47" i="8" a="1"/>
  <c r="E47" i="8" s="1"/>
  <c r="E42" i="8" s="1"/>
  <c r="U46" i="8" a="1"/>
  <c r="U46" i="8" s="1"/>
  <c r="U47" i="8" a="1"/>
  <c r="U47" i="8" s="1"/>
  <c r="V14" i="8" a="1"/>
  <c r="V14" i="8" s="1"/>
  <c r="H28" i="9" l="1"/>
  <c r="V48" i="8"/>
  <c r="W48" i="8" s="1"/>
  <c r="H29" i="9"/>
  <c r="U43" i="8"/>
  <c r="U39" i="8" s="1"/>
  <c r="H26" i="9" s="1"/>
  <c r="V47" i="8" a="1"/>
  <c r="V47" i="8" s="1"/>
  <c r="U42" i="8"/>
  <c r="U45" i="8"/>
  <c r="U40" i="8" s="1"/>
  <c r="V46" i="8" a="1"/>
  <c r="V46" i="8" s="1"/>
  <c r="U41" i="8"/>
  <c r="E44" i="8"/>
  <c r="E43" i="8"/>
  <c r="E39" i="8" s="1"/>
  <c r="E45" i="8"/>
  <c r="E40" i="8" s="1"/>
  <c r="H27" i="9" l="1"/>
  <c r="J29" i="9"/>
  <c r="V44" i="8"/>
  <c r="V43" i="8"/>
  <c r="V39" i="8" s="1"/>
  <c r="J26" i="9" s="1"/>
  <c r="L29" i="9"/>
  <c r="X48" i="8"/>
  <c r="W44" i="8"/>
  <c r="W43" i="8"/>
  <c r="V41" i="8"/>
  <c r="W46" i="8" a="1"/>
  <c r="W46" i="8" s="1"/>
  <c r="W47" i="8" a="1"/>
  <c r="W47" i="8" s="1"/>
  <c r="V42" i="8"/>
  <c r="V45" i="8"/>
  <c r="V40" i="8" s="1"/>
  <c r="L28" i="9" l="1"/>
  <c r="J28" i="9"/>
  <c r="J27" i="9"/>
  <c r="W45" i="8"/>
  <c r="W40" i="8" s="1"/>
  <c r="X46" i="8" a="1"/>
  <c r="X46" i="8" s="1"/>
  <c r="W41" i="8"/>
  <c r="L27" i="9"/>
  <c r="W39" i="8"/>
  <c r="L26" i="9" s="1"/>
  <c r="X43" i="8"/>
  <c r="N29" i="9"/>
  <c r="X44" i="8"/>
  <c r="Y48" i="8"/>
  <c r="X47" i="8" a="1"/>
  <c r="X47" i="8" s="1"/>
  <c r="W42" i="8"/>
  <c r="N28" i="9" l="1"/>
  <c r="Y47" i="8" a="1"/>
  <c r="Y47" i="8" s="1"/>
  <c r="X42" i="8"/>
  <c r="Y43" i="8"/>
  <c r="Y44" i="8"/>
  <c r="P29" i="9"/>
  <c r="Z48" i="8"/>
  <c r="X39" i="8"/>
  <c r="N26" i="9" s="1"/>
  <c r="N27" i="9"/>
  <c r="Y46" i="8" a="1"/>
  <c r="Y46" i="8" s="1"/>
  <c r="X41" i="8"/>
  <c r="X45" i="8"/>
  <c r="X40" i="8" s="1"/>
  <c r="P28" i="9" l="1"/>
  <c r="Y45" i="8"/>
  <c r="Y40" i="8" s="1"/>
  <c r="Z46" i="8" a="1"/>
  <c r="Z46" i="8" s="1"/>
  <c r="Y41" i="8"/>
  <c r="R29" i="9"/>
  <c r="Z43" i="8"/>
  <c r="Z44" i="8"/>
  <c r="AA48" i="8"/>
  <c r="Y39" i="8"/>
  <c r="P26" i="9" s="1"/>
  <c r="P27" i="9"/>
  <c r="Y42" i="8"/>
  <c r="Z47" i="8" a="1"/>
  <c r="Z47" i="8" s="1"/>
  <c r="R28" i="9" l="1"/>
  <c r="AA47" i="8" a="1"/>
  <c r="AA47" i="8" s="1"/>
  <c r="Z45" i="8"/>
  <c r="Z40" i="8" s="1"/>
  <c r="Z42" i="8"/>
  <c r="AA44" i="8"/>
  <c r="T29" i="9"/>
  <c r="AB48" i="8"/>
  <c r="AA43" i="8"/>
  <c r="R27" i="9"/>
  <c r="Z39" i="8"/>
  <c r="R26" i="9" s="1"/>
  <c r="AA46" i="8" a="1"/>
  <c r="AA46" i="8" s="1"/>
  <c r="Z41" i="8"/>
  <c r="T28" i="9" l="1"/>
  <c r="AA45" i="8"/>
  <c r="AA40" i="8" s="1"/>
  <c r="AA41" i="8"/>
  <c r="AB46" i="8" a="1"/>
  <c r="AB46" i="8" s="1"/>
  <c r="T27" i="9"/>
  <c r="AA39" i="8"/>
  <c r="T26" i="9" s="1"/>
  <c r="AB44" i="8"/>
  <c r="AB43" i="8"/>
  <c r="AC48" i="8"/>
  <c r="V29" i="9"/>
  <c r="AA42" i="8"/>
  <c r="AB47" i="8" a="1"/>
  <c r="AB47" i="8" s="1"/>
  <c r="V28" i="9" l="1"/>
  <c r="AC47" i="8" a="1"/>
  <c r="AC47" i="8" s="1"/>
  <c r="AB42" i="8"/>
  <c r="X29" i="9"/>
  <c r="AD48" i="8"/>
  <c r="AC44" i="8"/>
  <c r="AC43" i="8"/>
  <c r="AB39" i="8"/>
  <c r="V26" i="9" s="1"/>
  <c r="V27" i="9"/>
  <c r="AB41" i="8"/>
  <c r="AC46" i="8" a="1"/>
  <c r="AC46" i="8" s="1"/>
  <c r="AB45" i="8"/>
  <c r="AB40" i="8" s="1"/>
  <c r="X28" i="9" l="1"/>
  <c r="AD44" i="8"/>
  <c r="Z29" i="9"/>
  <c r="AD43" i="8"/>
  <c r="AE48" i="8"/>
  <c r="AC42" i="8"/>
  <c r="AD47" i="8" a="1"/>
  <c r="AD47" i="8" s="1"/>
  <c r="AC41" i="8"/>
  <c r="AD46" i="8" a="1"/>
  <c r="AD46" i="8" s="1"/>
  <c r="AC39" i="8"/>
  <c r="X26" i="9" s="1"/>
  <c r="X27" i="9"/>
  <c r="AC45" i="8"/>
  <c r="AC40" i="8" s="1"/>
  <c r="Z28" i="9" l="1"/>
  <c r="AD45" i="8"/>
  <c r="AD40" i="8" s="1"/>
  <c r="AE43" i="8"/>
  <c r="AB29" i="9"/>
  <c r="AE44" i="8"/>
  <c r="AF48" i="8"/>
  <c r="AE46" i="8" a="1"/>
  <c r="AE46" i="8" s="1"/>
  <c r="AD41" i="8"/>
  <c r="AD39" i="8"/>
  <c r="Z26" i="9" s="1"/>
  <c r="Z27" i="9"/>
  <c r="AE47" i="8" a="1"/>
  <c r="AE47" i="8" s="1"/>
  <c r="AD42" i="8"/>
  <c r="AE45" i="8" l="1"/>
  <c r="AE40" i="8" s="1"/>
  <c r="AD29" i="9"/>
  <c r="AF44" i="8"/>
  <c r="AF43" i="8"/>
  <c r="K10" i="8" a="1"/>
  <c r="K10" i="8" s="1"/>
  <c r="B6" i="9" a="1"/>
  <c r="B6" i="9" s="1"/>
  <c r="M13" i="9" s="1"/>
  <c r="AB28" i="9"/>
  <c r="AF47" i="8" a="1"/>
  <c r="AF47" i="8" s="1"/>
  <c r="AF42" i="8" s="1"/>
  <c r="AE42" i="8"/>
  <c r="AF46" i="8" a="1"/>
  <c r="AF46" i="8" s="1"/>
  <c r="AF41" i="8" s="1"/>
  <c r="AE41" i="8"/>
  <c r="AE39" i="8"/>
  <c r="AB26" i="9" s="1"/>
  <c r="AB27" i="9"/>
  <c r="AD28" i="9" l="1"/>
  <c r="F11" i="8" a="1"/>
  <c r="F11" i="8" s="1"/>
  <c r="AF45" i="8"/>
  <c r="AF40" i="8" s="1"/>
  <c r="AF39" i="8"/>
  <c r="AD26" i="9" s="1"/>
  <c r="AD27" i="9"/>
  <c r="F20" i="12" l="1" a="1"/>
  <c r="F20" i="12" s="1"/>
  <c r="J20" i="8"/>
  <c r="A20" i="8" s="1"/>
  <c r="N17" i="6" l="1"/>
  <c r="N18" i="6"/>
  <c r="N20" i="6"/>
  <c r="N23" i="6"/>
  <c r="N24" i="6"/>
  <c r="N25" i="6"/>
  <c r="N26" i="6"/>
  <c r="N27" i="6"/>
  <c r="N33" i="6"/>
  <c r="N34" i="6"/>
  <c r="N35" i="6"/>
  <c r="N37" i="6"/>
  <c r="N38" i="6"/>
  <c r="N44" i="6"/>
  <c r="N45" i="6"/>
  <c r="N46" i="6"/>
  <c r="N47" i="6"/>
  <c r="N48" i="6"/>
  <c r="N49" i="6"/>
  <c r="N50" i="6"/>
  <c r="N51" i="6"/>
  <c r="N52" i="6"/>
  <c r="N53" i="6"/>
  <c r="N54" i="6"/>
  <c r="N55" i="6"/>
  <c r="C22" i="10" l="1"/>
  <c r="A22" i="10" s="1"/>
  <c r="C22" i="9"/>
  <c r="F22" i="9" s="1"/>
  <c r="C21" i="10"/>
  <c r="A21" i="10" s="1"/>
  <c r="C21" i="9"/>
  <c r="F21" i="9" s="1"/>
  <c r="C20" i="10"/>
  <c r="A20" i="10" s="1"/>
  <c r="C20" i="9"/>
  <c r="F20" i="9" s="1"/>
  <c r="C19" i="10"/>
  <c r="A19" i="10" s="1"/>
  <c r="C19" i="9"/>
  <c r="F19" i="9" s="1"/>
  <c r="C18" i="10"/>
  <c r="A18" i="10" s="1"/>
  <c r="C18" i="9"/>
  <c r="F18" i="9" s="1"/>
  <c r="C16" i="10"/>
  <c r="A16" i="10" s="1"/>
  <c r="C16" i="9"/>
  <c r="F16" i="9" s="1"/>
  <c r="D8" i="9" l="1"/>
  <c r="F49" i="8" s="1"/>
  <c r="A11" i="12" s="1"/>
  <c r="P11" i="12" s="1"/>
  <c r="O11" i="12" s="1"/>
  <c r="F34" i="12" a="1"/>
  <c r="F34" i="12" s="1"/>
  <c r="F24" i="12" a="1"/>
  <c r="F24" i="12" s="1"/>
  <c r="F50" i="12" a="1"/>
  <c r="F50" i="12" s="1"/>
  <c r="F51" i="12" a="1"/>
  <c r="F51" i="12" s="1"/>
  <c r="F45" i="12" a="1"/>
  <c r="F45" i="12" s="1"/>
  <c r="F35" i="12" a="1"/>
  <c r="F35" i="12" s="1"/>
  <c r="F55" i="12" a="1"/>
  <c r="F55" i="12" s="1"/>
  <c r="F25" i="12" a="1"/>
  <c r="F25" i="12" s="1"/>
  <c r="F46" i="12" a="1"/>
  <c r="F46" i="12" s="1"/>
  <c r="V49" i="8" l="1"/>
  <c r="J30" i="9" s="1"/>
  <c r="J31" i="9" s="1"/>
  <c r="AC49" i="8"/>
  <c r="AC50" i="8" s="1"/>
  <c r="U49" i="8"/>
  <c r="H30" i="9" s="1"/>
  <c r="H31" i="9" s="1"/>
  <c r="AF49" i="8"/>
  <c r="AF50" i="8" s="1"/>
  <c r="Z49" i="8"/>
  <c r="Z50" i="8" s="1"/>
  <c r="W49" i="8"/>
  <c r="W50" i="8" s="1"/>
  <c r="E49" i="8"/>
  <c r="AD49" i="8"/>
  <c r="Z30" i="9" s="1"/>
  <c r="Z31" i="9" s="1"/>
  <c r="AA49" i="8"/>
  <c r="T30" i="9" s="1"/>
  <c r="T31" i="9" s="1"/>
  <c r="AE49" i="8"/>
  <c r="AE50" i="8" s="1"/>
  <c r="AB49" i="8"/>
  <c r="AB50" i="8" s="1"/>
  <c r="Y49" i="8"/>
  <c r="P30" i="9" s="1"/>
  <c r="P31" i="9" s="1"/>
  <c r="X49" i="8"/>
  <c r="N30" i="9" s="1"/>
  <c r="N31" i="9" s="1"/>
  <c r="F48" i="12" a="1"/>
  <c r="F48" i="12" s="1"/>
  <c r="F53" i="12" a="1"/>
  <c r="F53" i="12" s="1"/>
  <c r="F47" i="12" a="1"/>
  <c r="F47" i="12" s="1"/>
  <c r="F37" i="12" a="1"/>
  <c r="F37" i="12" s="1"/>
  <c r="F27" i="12" a="1"/>
  <c r="F27" i="12" s="1"/>
  <c r="F26" i="12" a="1"/>
  <c r="F26" i="12" s="1"/>
  <c r="F18" i="12" a="1"/>
  <c r="F18" i="12" s="1"/>
  <c r="F52" i="12" a="1"/>
  <c r="F52" i="12" s="1"/>
  <c r="F38" i="12" a="1"/>
  <c r="F38" i="12" s="1"/>
  <c r="X30" i="9" l="1"/>
  <c r="X31" i="9" s="1"/>
  <c r="AB30" i="9"/>
  <c r="AB31" i="9" s="1"/>
  <c r="L30" i="9"/>
  <c r="L31" i="9" s="1"/>
  <c r="U50" i="8"/>
  <c r="X50" i="8"/>
  <c r="R30" i="9"/>
  <c r="R31" i="9" s="1"/>
  <c r="AD30" i="9"/>
  <c r="AD31" i="9" s="1"/>
  <c r="AA50" i="8"/>
  <c r="V50" i="8"/>
  <c r="AD50" i="8"/>
  <c r="Y50" i="8"/>
  <c r="V30" i="9"/>
  <c r="V31" i="9" s="1"/>
  <c r="T50" i="8" l="1"/>
  <c r="G31" i="9"/>
  <c r="G41" i="6" l="1"/>
  <c r="G40" i="6"/>
  <c r="G39" i="6"/>
  <c r="G51" i="6"/>
  <c r="G50" i="6"/>
  <c r="G45" i="6"/>
  <c r="G55" i="6"/>
  <c r="G46" i="6"/>
  <c r="G20" i="6"/>
  <c r="G19" i="6"/>
  <c r="E41" i="12" l="1"/>
  <c r="F41" i="6"/>
  <c r="E40" i="12"/>
  <c r="F40" i="6"/>
  <c r="E39" i="12"/>
  <c r="F39" i="6"/>
  <c r="E50" i="12"/>
  <c r="F50" i="6"/>
  <c r="F46" i="6"/>
  <c r="E46" i="12"/>
  <c r="E45" i="12"/>
  <c r="F45" i="6"/>
  <c r="E19" i="12"/>
  <c r="F19" i="6"/>
  <c r="E20" i="12"/>
  <c r="F20" i="6"/>
  <c r="E55" i="12"/>
  <c r="F55" i="6"/>
  <c r="F51" i="6"/>
  <c r="E51" i="12"/>
  <c r="G22" i="6" l="1"/>
  <c r="E22" i="12" l="1"/>
  <c r="F22" i="6"/>
  <c r="AF53" i="5" l="1" a="1"/>
  <c r="AF19" i="5" a="1"/>
  <c r="AF39" i="5" a="1"/>
  <c r="AF42" i="5" a="1"/>
  <c r="AF40" i="5" a="1"/>
  <c r="AF25" i="5" a="1"/>
  <c r="AF50" i="5" a="1"/>
  <c r="AF46" i="5" a="1"/>
  <c r="AF30" i="5" a="1"/>
  <c r="AF55" i="5" a="1"/>
  <c r="AF29" i="5" a="1"/>
  <c r="AF26" i="5" a="1"/>
  <c r="AF27" i="5" a="1"/>
  <c r="AF37" i="5" a="1"/>
  <c r="AF51" i="5" a="1"/>
  <c r="AF34" i="5" a="1"/>
  <c r="AF28" i="5" a="1"/>
  <c r="AF20" i="5" a="1"/>
  <c r="AF18" i="5" a="1"/>
  <c r="AF43" i="5" a="1"/>
  <c r="AF38" i="5" a="1"/>
  <c r="AF45" i="5" a="1"/>
  <c r="AF35" i="5" a="1"/>
  <c r="AF31" i="5" a="1"/>
  <c r="AF52" i="5" a="1"/>
  <c r="AF36" i="5" a="1"/>
  <c r="AF47" i="5" a="1"/>
  <c r="AF32" i="5" a="1"/>
  <c r="AF48" i="5" a="1"/>
  <c r="AF24" i="5" a="1"/>
  <c r="AF41" i="5" a="1"/>
  <c r="AF22" i="5" a="1"/>
  <c r="AF22" i="5" l="1"/>
  <c r="AG22" i="5" s="1" a="1"/>
  <c r="AG22" i="5" s="1"/>
  <c r="AC22" i="5" s="1" a="1"/>
  <c r="AC22" i="5" s="1"/>
  <c r="J22" i="6" s="1" a="1"/>
  <c r="J22" i="6" s="1"/>
  <c r="AF41" i="5"/>
  <c r="AG41" i="5" s="1" a="1"/>
  <c r="AG41" i="5" s="1"/>
  <c r="AC41" i="5" s="1" a="1"/>
  <c r="AC41" i="5" s="1"/>
  <c r="J41" i="6" s="1" a="1"/>
  <c r="J41" i="6" s="1"/>
  <c r="AF24" i="5"/>
  <c r="AF48" i="5"/>
  <c r="AF32" i="5"/>
  <c r="AF47" i="5"/>
  <c r="AF36" i="5"/>
  <c r="AF52" i="5"/>
  <c r="AF31" i="5"/>
  <c r="AF35" i="5"/>
  <c r="AF45" i="5"/>
  <c r="AG45" i="5" s="1" a="1"/>
  <c r="AG45" i="5" s="1"/>
  <c r="AC45" i="5" s="1" a="1"/>
  <c r="AC45" i="5" s="1"/>
  <c r="J45" i="6" s="1" a="1"/>
  <c r="J45" i="6" s="1"/>
  <c r="AF38" i="5"/>
  <c r="AF43" i="5"/>
  <c r="AF18" i="5"/>
  <c r="AF20" i="5"/>
  <c r="AG20" i="5" s="1" a="1"/>
  <c r="AG20" i="5" s="1"/>
  <c r="AC20" i="5" s="1" a="1"/>
  <c r="AC20" i="5" s="1"/>
  <c r="J20" i="6" s="1" a="1"/>
  <c r="J20" i="6" s="1"/>
  <c r="AF28" i="5"/>
  <c r="AF34" i="5"/>
  <c r="AF51" i="5"/>
  <c r="AG51" i="5" s="1" a="1"/>
  <c r="AG51" i="5" s="1"/>
  <c r="AC51" i="5" s="1" a="1"/>
  <c r="AC51" i="5" s="1"/>
  <c r="J51" i="6" s="1" a="1"/>
  <c r="J51" i="6" s="1"/>
  <c r="AF37" i="5"/>
  <c r="AF27" i="5"/>
  <c r="AF26" i="5"/>
  <c r="AF29" i="5"/>
  <c r="AF55" i="5"/>
  <c r="AG55" i="5" s="1" a="1"/>
  <c r="AG55" i="5" s="1"/>
  <c r="AC55" i="5" s="1" a="1"/>
  <c r="AC55" i="5" s="1"/>
  <c r="J55" i="6" s="1" a="1"/>
  <c r="J55" i="6" s="1"/>
  <c r="AF30" i="5"/>
  <c r="AF46" i="5"/>
  <c r="AG46" i="5" s="1" a="1"/>
  <c r="AG46" i="5" s="1"/>
  <c r="AC46" i="5" s="1" a="1"/>
  <c r="AC46" i="5" s="1"/>
  <c r="J46" i="6" s="1" a="1"/>
  <c r="J46" i="6" s="1"/>
  <c r="AF50" i="5"/>
  <c r="AG50" i="5" s="1" a="1"/>
  <c r="AG50" i="5" s="1"/>
  <c r="AC50" i="5" s="1" a="1"/>
  <c r="AC50" i="5" s="1"/>
  <c r="J50" i="6" s="1" a="1"/>
  <c r="J50" i="6" s="1"/>
  <c r="AF25" i="5"/>
  <c r="AF40" i="5"/>
  <c r="AG40" i="5" s="1" a="1"/>
  <c r="AG40" i="5" s="1"/>
  <c r="AC40" i="5" s="1" a="1"/>
  <c r="AC40" i="5" s="1"/>
  <c r="J40" i="6" s="1" a="1"/>
  <c r="J40" i="6" s="1"/>
  <c r="AF42" i="5"/>
  <c r="AF39" i="5"/>
  <c r="AG39" i="5" s="1" a="1"/>
  <c r="AG39" i="5" s="1"/>
  <c r="AC39" i="5" s="1" a="1"/>
  <c r="AC39" i="5" s="1"/>
  <c r="J39" i="6" s="1" a="1"/>
  <c r="J39" i="6" s="1"/>
  <c r="AF19" i="5"/>
  <c r="AG19" i="5" s="1" a="1"/>
  <c r="AG19" i="5" s="1"/>
  <c r="AC19" i="5" s="1" a="1"/>
  <c r="AC19" i="5" s="1"/>
  <c r="J19" i="6" s="1" a="1"/>
  <c r="J19" i="6" s="1"/>
  <c r="AF53" i="5"/>
  <c r="R53" i="5" l="1" a="1"/>
  <c r="S30" i="5" a="1"/>
  <c r="R27" i="5" a="1"/>
  <c r="S38" i="5" a="1"/>
  <c r="R52" i="5" a="1"/>
  <c r="R48" i="5" a="1"/>
  <c r="R37" i="5" a="1"/>
  <c r="R36" i="5" a="1"/>
  <c r="S24" i="5" a="1"/>
  <c r="S18" i="5" a="1"/>
  <c r="S35" i="5" a="1"/>
  <c r="R47" i="5" a="1"/>
  <c r="R26" i="5" a="1"/>
  <c r="AG34" i="5" a="1"/>
  <c r="S43" i="5" a="1"/>
  <c r="S32" i="5" a="1"/>
  <c r="S53" i="5" a="1"/>
  <c r="R30" i="5" a="1"/>
  <c r="AG28" i="5" a="1"/>
  <c r="R38" i="5" a="1"/>
  <c r="S52" i="5" a="1"/>
  <c r="R25" i="5" a="1"/>
  <c r="AG37" i="5" a="1"/>
  <c r="AG36" i="5" a="1"/>
  <c r="R29" i="5" a="1"/>
  <c r="R18" i="5" a="1"/>
  <c r="AG35" i="5" a="1"/>
  <c r="AG42" i="5" a="1"/>
  <c r="AG26" i="5" a="1"/>
  <c r="S34" i="5" a="1"/>
  <c r="S31" i="5" a="1"/>
  <c r="R32" i="5" a="1"/>
  <c r="AG53" i="5" a="1"/>
  <c r="S27" i="5" a="1"/>
  <c r="R28" i="5" a="1"/>
  <c r="AG38" i="5" a="1"/>
  <c r="AG48" i="5" a="1"/>
  <c r="S25" i="5" a="1"/>
  <c r="S37" i="5" a="1"/>
  <c r="AG24" i="5" a="1"/>
  <c r="S29" i="5" a="1"/>
  <c r="AG18" i="5" a="1"/>
  <c r="AG47" i="5" a="1"/>
  <c r="S42" i="5" a="1"/>
  <c r="S26" i="5" a="1"/>
  <c r="AG43" i="5" a="1"/>
  <c r="AG31" i="5" a="1"/>
  <c r="AG32" i="5" a="1"/>
  <c r="AG30" i="5" a="1"/>
  <c r="AG27" i="5" a="1"/>
  <c r="S28" i="5" a="1"/>
  <c r="AG52" i="5" a="1"/>
  <c r="S48" i="5" a="1"/>
  <c r="AG25" i="5" a="1"/>
  <c r="S36" i="5" a="1"/>
  <c r="R24" i="5" a="1"/>
  <c r="AG29" i="5" a="1"/>
  <c r="R35" i="5" a="1"/>
  <c r="S47" i="5" a="1"/>
  <c r="R42" i="5" a="1"/>
  <c r="R34" i="5" a="1"/>
  <c r="R43" i="5" a="1"/>
  <c r="R31" i="5" a="1"/>
  <c r="R31" i="5" l="1"/>
  <c r="R43" i="5"/>
  <c r="R34" i="5"/>
  <c r="R42" i="5"/>
  <c r="S47" i="5"/>
  <c r="G47" i="6" s="1"/>
  <c r="R35" i="5"/>
  <c r="AG29" i="5"/>
  <c r="R24" i="5"/>
  <c r="S36" i="5"/>
  <c r="G36" i="6" s="1"/>
  <c r="AG25" i="5"/>
  <c r="S48" i="5"/>
  <c r="G48" i="6" s="1"/>
  <c r="AG52" i="5"/>
  <c r="S28" i="5"/>
  <c r="G28" i="6" s="1"/>
  <c r="AG27" i="5"/>
  <c r="AG30" i="5"/>
  <c r="AG32" i="5"/>
  <c r="AG31" i="5"/>
  <c r="AG43" i="5"/>
  <c r="S26" i="5"/>
  <c r="G26" i="6" s="1"/>
  <c r="S42" i="5"/>
  <c r="G42" i="6" s="1"/>
  <c r="AG47" i="5"/>
  <c r="AG18" i="5"/>
  <c r="S29" i="5"/>
  <c r="G29" i="6" s="1"/>
  <c r="AG24" i="5"/>
  <c r="S37" i="5"/>
  <c r="G37" i="6" s="1"/>
  <c r="S25" i="5"/>
  <c r="G25" i="6" s="1"/>
  <c r="AG48" i="5"/>
  <c r="AG38" i="5"/>
  <c r="R28" i="5"/>
  <c r="S27" i="5"/>
  <c r="G27" i="6" s="1"/>
  <c r="AG53" i="5"/>
  <c r="R32" i="5"/>
  <c r="S31" i="5"/>
  <c r="G31" i="6" s="1"/>
  <c r="S34" i="5"/>
  <c r="G34" i="6" s="1"/>
  <c r="AG26" i="5"/>
  <c r="AG42" i="5"/>
  <c r="AG35" i="5"/>
  <c r="R18" i="5"/>
  <c r="R29" i="5"/>
  <c r="AG36" i="5"/>
  <c r="AG37" i="5"/>
  <c r="R25" i="5"/>
  <c r="S52" i="5"/>
  <c r="G52" i="6" s="1"/>
  <c r="R38" i="5"/>
  <c r="AG28" i="5"/>
  <c r="R30" i="5"/>
  <c r="S53" i="5"/>
  <c r="G53" i="6" s="1"/>
  <c r="S32" i="5"/>
  <c r="G32" i="6" s="1"/>
  <c r="S43" i="5"/>
  <c r="G43" i="6" s="1"/>
  <c r="AG34" i="5"/>
  <c r="R26" i="5"/>
  <c r="R47" i="5"/>
  <c r="S35" i="5"/>
  <c r="G35" i="6" s="1"/>
  <c r="S18" i="5"/>
  <c r="G18" i="6" s="1"/>
  <c r="S24" i="5"/>
  <c r="G24" i="6" s="1"/>
  <c r="R36" i="5"/>
  <c r="R37" i="5"/>
  <c r="R48" i="5"/>
  <c r="R52" i="5"/>
  <c r="S38" i="5"/>
  <c r="G38" i="6" s="1"/>
  <c r="R27" i="5"/>
  <c r="S30" i="5"/>
  <c r="G30" i="6" s="1"/>
  <c r="R53" i="5"/>
  <c r="F36" i="6" l="1"/>
  <c r="AC36" i="5" a="1"/>
  <c r="AC36" i="5" s="1"/>
  <c r="J36" i="6" s="1" a="1"/>
  <c r="J36" i="6" s="1"/>
  <c r="E36" i="12"/>
  <c r="AC47" i="5" a="1"/>
  <c r="AC47" i="5" s="1"/>
  <c r="J47" i="6" s="1" a="1"/>
  <c r="J47" i="6" s="1"/>
  <c r="E47" i="12"/>
  <c r="F47" i="6"/>
  <c r="AC38" i="5" a="1"/>
  <c r="AC38" i="5" s="1"/>
  <c r="J38" i="6" s="1" a="1"/>
  <c r="J38" i="6" s="1"/>
  <c r="E38" i="12"/>
  <c r="F38" i="6"/>
  <c r="AC32" i="5" a="1"/>
  <c r="AC32" i="5" s="1"/>
  <c r="J32" i="6" s="1" a="1"/>
  <c r="J32" i="6" s="1"/>
  <c r="E32" i="12"/>
  <c r="F32" i="6"/>
  <c r="F24" i="6"/>
  <c r="E24" i="12"/>
  <c r="AC24" i="5" a="1"/>
  <c r="AC24" i="5" s="1"/>
  <c r="J24" i="6" s="1" a="1"/>
  <c r="J24" i="6" s="1"/>
  <c r="AC42" i="5" a="1"/>
  <c r="AC42" i="5" s="1"/>
  <c r="J42" i="6" s="1" a="1"/>
  <c r="J42" i="6" s="1"/>
  <c r="F42" i="6"/>
  <c r="E42" i="12"/>
  <c r="E53" i="12"/>
  <c r="F53" i="6"/>
  <c r="AC53" i="5" a="1"/>
  <c r="AC53" i="5" s="1"/>
  <c r="J53" i="6" s="1" a="1"/>
  <c r="J53" i="6" s="1"/>
  <c r="F52" i="6"/>
  <c r="AC52" i="5" a="1"/>
  <c r="AC52" i="5" s="1"/>
  <c r="J52" i="6" s="1" a="1"/>
  <c r="J52" i="6" s="1"/>
  <c r="E52" i="12"/>
  <c r="AC26" i="5" a="1"/>
  <c r="AC26" i="5" s="1"/>
  <c r="J26" i="6" s="1" a="1"/>
  <c r="J26" i="6" s="1"/>
  <c r="F26" i="6"/>
  <c r="E26" i="12"/>
  <c r="E29" i="12"/>
  <c r="F29" i="6"/>
  <c r="AC29" i="5" a="1"/>
  <c r="AC29" i="5" s="1"/>
  <c r="J29" i="6" s="1" a="1"/>
  <c r="J29" i="6" s="1"/>
  <c r="E34" i="12"/>
  <c r="F34" i="6"/>
  <c r="AC34" i="5" a="1"/>
  <c r="AC34" i="5" s="1"/>
  <c r="J34" i="6" s="1" a="1"/>
  <c r="J34" i="6" s="1"/>
  <c r="E48" i="12"/>
  <c r="F48" i="6"/>
  <c r="AC48" i="5" a="1"/>
  <c r="AC48" i="5" s="1"/>
  <c r="J48" i="6" s="1" a="1"/>
  <c r="J48" i="6" s="1"/>
  <c r="AC30" i="5" a="1"/>
  <c r="AC30" i="5" s="1"/>
  <c r="J30" i="6" s="1" a="1"/>
  <c r="J30" i="6" s="1"/>
  <c r="E30" i="12"/>
  <c r="F30" i="6"/>
  <c r="E25" i="12"/>
  <c r="AC25" i="5" a="1"/>
  <c r="AC25" i="5" s="1"/>
  <c r="J25" i="6" s="1" a="1"/>
  <c r="J25" i="6" s="1"/>
  <c r="F25" i="6"/>
  <c r="AC18" i="5" a="1"/>
  <c r="AC18" i="5" s="1"/>
  <c r="F18" i="6"/>
  <c r="E18" i="12"/>
  <c r="E35" i="12"/>
  <c r="F35" i="6"/>
  <c r="AC35" i="5" a="1"/>
  <c r="AC35" i="5" s="1"/>
  <c r="J35" i="6" s="1" a="1"/>
  <c r="J35" i="6" s="1"/>
  <c r="E43" i="12"/>
  <c r="AC43" i="5" a="1"/>
  <c r="AC43" i="5" s="1"/>
  <c r="J43" i="6" s="1" a="1"/>
  <c r="J43" i="6" s="1"/>
  <c r="F43" i="6"/>
  <c r="E27" i="12"/>
  <c r="F27" i="6"/>
  <c r="AC27" i="5" a="1"/>
  <c r="AC27" i="5" s="1"/>
  <c r="J27" i="6" s="1" a="1"/>
  <c r="J27" i="6" s="1"/>
  <c r="E37" i="12"/>
  <c r="F37" i="6"/>
  <c r="AC37" i="5" a="1"/>
  <c r="AC37" i="5" s="1"/>
  <c r="J37" i="6" s="1" a="1"/>
  <c r="J37" i="6" s="1"/>
  <c r="E28" i="12"/>
  <c r="AC28" i="5" a="1"/>
  <c r="AC28" i="5" s="1"/>
  <c r="J28" i="6" s="1" a="1"/>
  <c r="J28" i="6" s="1"/>
  <c r="F28" i="6"/>
  <c r="E31" i="12"/>
  <c r="F31" i="6"/>
  <c r="AC31" i="5" a="1"/>
  <c r="AC31" i="5" s="1"/>
  <c r="J31" i="6" s="1" a="1"/>
  <c r="J31" i="6" s="1"/>
  <c r="O12" i="5" l="1" a="1"/>
  <c r="O12" i="5" s="1"/>
  <c r="J18" i="6" a="1"/>
  <c r="J18" i="6" s="1"/>
  <c r="AC11" i="5"/>
  <c r="AC7" i="5"/>
  <c r="F11" i="6" l="1"/>
  <c r="N11" i="6"/>
  <c r="I1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<sst xmlns="http://schemas.openxmlformats.org/spreadsheetml/2006/main" count="2314" uniqueCount="1157">
  <si>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</si>
  <si>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</si>
  <si>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</si>
  <si>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</si>
  <si>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</si>
  <si>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</si>
  <si>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</si>
  <si>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</si>
  <si>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</si>
  <si>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</si>
  <si>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</si>
  <si>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</si>
  <si>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</si>
  <si>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</si>
  <si>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</si>
  <si>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</si>
  <si>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</si>
  <si>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</si>
  <si>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</si>
  <si>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</si>
  <si>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</si>
  <si>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</si>
  <si>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</si>
  <si>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</si>
  <si>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</si>
  <si>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</si>
  <si>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</si>
  <si>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</si>
  <si>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</si>
  <si>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</si>
  <si>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</si>
  <si>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</si>
  <si>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</si>
  <si>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</si>
  <si>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</si>
  <si>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</si>
  <si>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</si>
  <si>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</si>
  <si>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</si>
  <si>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</si>
  <si>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</si>
  <si>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</si>
  <si>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</si>
  <si>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</si>
  <si>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</si>
  <si>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</si>
  <si>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</si>
  <si>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</si>
  <si>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</si>
  <si>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</si>
  <si>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</si>
  <si>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</si>
  <si>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</si>
  <si>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</si>
  <si>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</si>
  <si>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</si>
  <si>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</si>
  <si>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</si>
  <si>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</si>
  <si>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</si>
  <si>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</si>
  <si>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</si>
  <si>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</si>
  <si>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</si>
  <si>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</si>
  <si>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</si>
  <si>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</si>
  <si>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</si>
  <si>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</si>
  <si>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</si>
  <si>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</si>
  <si>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</si>
  <si>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</si>
  <si>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</si>
  <si>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</si>
  <si>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</si>
  <si>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</si>
  <si>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</si>
  <si>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</si>
  <si>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</si>
  <si>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</si>
  <si>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</si>
  <si>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</si>
  <si>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</si>
  <si>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</si>
  <si>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</si>
  <si>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</si>
  <si>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</si>
  <si>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</si>
  <si>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</si>
  <si>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</si>
  <si>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</si>
  <si>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</si>
  <si>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</si>
  <si>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</si>
  <si>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</si>
  <si>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</si>
  <si>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</si>
  <si>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</si>
  <si>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</si>
  <si>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</si>
  <si>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</si>
  <si>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</si>
  <si>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</si>
  <si>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</si>
  <si>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</si>
  <si>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</si>
  <si>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</si>
  <si>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</si>
  <si>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</si>
  <si>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</si>
  <si>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</si>
  <si>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</si>
  <si>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</si>
  <si>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</si>
  <si>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</si>
  <si>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</si>
  <si>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</si>
  <si>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</si>
  <si>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</si>
  <si>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</si>
  <si>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</si>
  <si>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</si>
  <si>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</si>
  <si>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</si>
  <si>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</si>
  <si>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</si>
  <si>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</si>
  <si>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</si>
  <si>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</si>
  <si>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</si>
  <si>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</si>
  <si>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</si>
  <si>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</si>
  <si>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</si>
  <si>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</si>
  <si>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</si>
  <si>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</si>
  <si>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</si>
  <si>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</si>
  <si>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</si>
  <si>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</si>
  <si>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</si>
  <si>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</si>
  <si>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</si>
  <si>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</si>
  <si>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</si>
  <si>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</si>
  <si>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</si>
  <si>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</si>
  <si>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</si>
  <si>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</si>
  <si>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</si>
  <si>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</si>
  <si>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</si>
  <si>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</si>
  <si>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</si>
  <si>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</si>
  <si>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</si>
  <si>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</si>
  <si>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</si>
  <si>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</si>
  <si>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</si>
  <si>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</si>
  <si>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</si>
  <si>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</si>
  <si>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</si>
  <si>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</si>
  <si>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</si>
  <si>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</si>
  <si>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</si>
  <si>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</si>
  <si>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</si>
  <si>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</si>
  <si>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</si>
  <si>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</si>
  <si>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</si>
  <si>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</si>
  <si>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</si>
  <si>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</si>
  <si>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</si>
  <si>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</si>
  <si>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</si>
  <si>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</si>
  <si>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</si>
  <si>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</si>
  <si>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</si>
  <si>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</si>
  <si>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</si>
  <si>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</si>
  <si>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</si>
  <si>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</si>
  <si>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</si>
  <si>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</si>
  <si>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</si>
  <si>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</si>
  <si>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</si>
  <si>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</si>
  <si>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</si>
  <si>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</si>
  <si>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</si>
  <si>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</si>
  <si>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</si>
  <si>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</si>
  <si>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</si>
  <si>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</si>
  <si>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</si>
  <si>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</si>
  <si>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</si>
  <si>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</si>
  <si>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</si>
  <si>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</si>
  <si>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</si>
  <si>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</si>
  <si>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</si>
  <si>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</si>
  <si>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</si>
  <si>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</si>
  <si>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</si>
  <si>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</si>
  <si>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</si>
  <si>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</si>
  <si>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</si>
  <si>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</si>
  <si>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</si>
  <si>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</si>
  <si>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</si>
  <si>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</si>
  <si>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</si>
  <si>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</si>
  <si>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</si>
  <si>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</si>
  <si>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</si>
  <si>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</si>
  <si>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</si>
  <si>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</si>
  <si>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</si>
  <si>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</si>
  <si>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</si>
  <si>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</si>
  <si>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</si>
  <si>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</si>
  <si>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</si>
  <si>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</si>
  <si>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</si>
  <si>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</si>
  <si>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</si>
  <si>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</si>
  <si>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</si>
  <si>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</si>
  <si>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</si>
  <si>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</si>
  <si>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</si>
  <si>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</si>
  <si>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</si>
  <si>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</si>
  <si>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</si>
  <si>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</si>
  <si>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</si>
  <si>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</si>
  <si>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</si>
  <si>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</si>
  <si>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</si>
  <si>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</si>
  <si>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</si>
  <si>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</si>
  <si>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</si>
  <si>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</si>
  <si>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</si>
  <si>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</si>
  <si>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</si>
  <si>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</si>
  <si>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</si>
  <si>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</si>
  <si>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</si>
  <si>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</si>
  <si>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</si>
  <si>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</si>
  <si>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</si>
  <si>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</si>
  <si>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</si>
  <si>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</si>
  <si>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</si>
  <si>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</si>
  <si>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</si>
  <si>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</si>
  <si>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</si>
  <si>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</si>
  <si>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</si>
  <si>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</si>
  <si>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</si>
  <si>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</si>
  <si>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</si>
  <si>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</si>
  <si>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</si>
  <si>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</si>
  <si>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</si>
  <si>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</si>
  <si>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</si>
  <si>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</si>
  <si>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</si>
  <si>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</si>
  <si>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</si>
  <si>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</si>
  <si>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</si>
  <si>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</si>
  <si>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</si>
  <si>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</si>
  <si>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</si>
  <si>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</si>
  <si>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</si>
  <si>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</si>
  <si>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</si>
  <si>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</si>
  <si>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</si>
  <si>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</si>
  <si>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</si>
  <si>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</si>
  <si>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</si>
  <si>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</si>
  <si>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</si>
  <si>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</si>
  <si>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</si>
  <si>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</si>
  <si>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</si>
  <si>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</si>
  <si>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</si>
  <si>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</si>
  <si>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</si>
  <si>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</si>
  <si>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</si>
  <si>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</si>
  <si>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</si>
  <si>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</si>
  <si>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</si>
  <si>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</si>
  <si>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</si>
  <si>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</si>
  <si>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</si>
  <si>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</si>
  <si>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</si>
  <si>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</si>
  <si>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</si>
  <si>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</si>
  <si>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</si>
  <si>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</si>
  <si>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</si>
  <si>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</si>
  <si>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</si>
  <si>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</si>
  <si>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</si>
  <si>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</si>
  <si>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</si>
  <si>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</si>
  <si>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</si>
  <si>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</si>
  <si>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</si>
  <si>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</si>
  <si>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</si>
  <si>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</si>
  <si>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</si>
  <si>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</si>
  <si>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</si>
  <si>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</si>
  <si>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</si>
  <si>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</si>
  <si>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</si>
  <si>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</si>
  <si>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</si>
  <si>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</si>
  <si>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</si>
  <si>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</si>
  <si>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</si>
  <si>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</si>
  <si>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</si>
  <si>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</si>
  <si>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</si>
  <si>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</si>
  <si>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</si>
  <si>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</si>
  <si>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</si>
  <si>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</si>
  <si>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</si>
  <si>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</si>
  <si>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</si>
  <si>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</si>
  <si>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</si>
  <si>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</si>
  <si>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</si>
  <si>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</si>
  <si>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</si>
  <si>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</si>
  <si>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</si>
  <si>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</si>
  <si>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</si>
  <si>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</si>
  <si>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</si>
  <si>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</si>
  <si>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</si>
  <si>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</si>
  <si>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</si>
  <si>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</si>
  <si>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</si>
  <si>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</si>
  <si>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</si>
  <si>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</si>
  <si>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</si>
  <si>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</si>
  <si>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</si>
  <si>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</si>
  <si>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</si>
  <si>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</si>
  <si>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</si>
  <si>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</si>
  <si>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</si>
  <si>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</si>
  <si>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</si>
  <si>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</si>
  <si>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</si>
  <si>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</si>
  <si>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</si>
  <si>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</si>
  <si>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</si>
  <si>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</si>
  <si>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</si>
  <si>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</si>
  <si>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</si>
  <si>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</si>
  <si>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</si>
  <si>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</si>
  <si>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</si>
  <si>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</si>
  <si>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</si>
  <si>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</si>
  <si>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</si>
  <si>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</si>
  <si>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</si>
  <si>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</si>
  <si>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</si>
  <si>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</si>
  <si>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</si>
  <si>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</si>
  <si>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</si>
  <si>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</si>
  <si>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</si>
  <si>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</si>
  <si>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</si>
  <si>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</si>
  <si>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</si>
  <si>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</si>
  <si>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</si>
  <si>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</si>
  <si>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</si>
  <si>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</si>
  <si>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</si>
  <si>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</si>
  <si>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</si>
  <si>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</si>
  <si>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</si>
  <si>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</si>
  <si>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</si>
  <si>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</si>
  <si>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</si>
  <si>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</si>
  <si>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</si>
  <si>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</si>
  <si>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</si>
  <si>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</si>
  <si>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</si>
  <si>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</si>
  <si>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</si>
  <si>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</si>
  <si>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</si>
  <si>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</si>
  <si>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</si>
  <si>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</si>
  <si>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</si>
  <si>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</si>
  <si>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</si>
  <si>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</si>
  <si>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</si>
  <si>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</si>
  <si>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</si>
  <si>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</si>
  <si>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</si>
  <si>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</si>
  <si>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</si>
  <si>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</si>
  <si>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</si>
  <si>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</si>
  <si>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</si>
  <si>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</si>
  <si>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</si>
  <si>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</si>
  <si>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</si>
  <si>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</si>
  <si>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</si>
  <si>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</si>
  <si>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</si>
  <si>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</si>
  <si>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</si>
  <si>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</si>
  <si>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</si>
  <si>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</si>
  <si>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</si>
  <si>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</si>
  <si>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</si>
  <si>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</si>
  <si>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</si>
  <si>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</si>
  <si>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</si>
  <si>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</si>
  <si>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</si>
  <si>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</si>
  <si>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</si>
  <si>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</si>
  <si>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</si>
  <si>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</si>
  <si>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</si>
  <si>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</si>
  <si>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</si>
  <si>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</si>
  <si>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</si>
  <si>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</si>
  <si>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</si>
  <si>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</si>
  <si>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</si>
  <si>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</si>
  <si>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</si>
  <si>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</si>
  <si>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</si>
  <si>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</si>
  <si>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</si>
  <si>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</si>
  <si>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</si>
  <si>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</si>
  <si>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</si>
  <si>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</si>
  <si>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</si>
  <si>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</si>
  <si>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</si>
  <si>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</si>
  <si>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</si>
  <si>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</si>
  <si>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</si>
  <si>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</si>
  <si>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</si>
  <si>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</si>
  <si>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</si>
  <si>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</si>
  <si>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</si>
  <si>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</si>
  <si>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</si>
  <si>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</si>
  <si>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</si>
  <si>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</si>
  <si>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</si>
  <si>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</si>
  <si>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</si>
  <si>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</si>
  <si>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</si>
  <si>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</si>
  <si>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</si>
  <si>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</si>
  <si>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</si>
  <si>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</si>
  <si>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</si>
  <si>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</si>
  <si>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</si>
  <si>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</si>
  <si>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</si>
  <si>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</si>
  <si>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</si>
  <si>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</si>
  <si>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</si>
  <si>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</si>
  <si>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</si>
  <si>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</si>
  <si>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</si>
  <si>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</si>
  <si>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</si>
  <si>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</si>
  <si>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</si>
  <si>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</si>
  <si>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</si>
  <si>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</si>
  <si>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</si>
  <si>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</si>
  <si>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</si>
  <si>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</si>
  <si>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</si>
  <si>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</si>
  <si>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</si>
  <si>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</si>
  <si>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</si>
  <si>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</si>
  <si>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</si>
  <si>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</si>
  <si>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</si>
  <si>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</si>
  <si>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</si>
  <si>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</si>
  <si>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</si>
  <si>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</si>
  <si>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</si>
  <si>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</si>
  <si>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</si>
  <si>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</si>
  <si>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</si>
  <si>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</si>
  <si>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</si>
  <si>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</si>
  <si>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</si>
  <si>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</si>
  <si>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</si>
  <si>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</si>
  <si>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</si>
  <si>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</si>
  <si>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</si>
  <si>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</si>
  <si>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</si>
  <si>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</si>
  <si>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</si>
  <si>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</si>
  <si>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</si>
  <si>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</si>
  <si>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</si>
  <si>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</si>
  <si>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</si>
  <si>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</si>
  <si>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</si>
  <si>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</si>
  <si>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</si>
  <si>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</si>
  <si>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</si>
  <si>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</si>
  <si>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</si>
  <si>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</si>
  <si>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</si>
  <si>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</si>
  <si>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</si>
  <si>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</si>
  <si>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</si>
  <si>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</si>
  <si>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</si>
  <si>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</si>
  <si>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</si>
  <si>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</si>
  <si>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</si>
  <si>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</si>
  <si>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</si>
  <si>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</si>
  <si>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</si>
  <si>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</si>
  <si>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</si>
  <si>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</si>
  <si>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</si>
  <si>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</si>
  <si>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</si>
  <si>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</si>
  <si>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</si>
  <si>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</si>
  <si>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</si>
  <si>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</si>
  <si>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</si>
  <si>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</si>
  <si>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</si>
  <si>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</si>
  <si>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</si>
  <si>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</si>
  <si>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</si>
  <si>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</si>
  <si>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</si>
  <si>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</si>
  <si>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</si>
  <si>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</si>
  <si>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</si>
  <si>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</si>
  <si>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</si>
  <si>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</si>
  <si>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</si>
  <si>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</si>
  <si>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</si>
  <si>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</si>
  <si>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</si>
  <si>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</si>
  <si>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</si>
  <si>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</si>
  <si>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</si>
  <si>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</si>
  <si>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</si>
  <si>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</si>
  <si>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</si>
  <si>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</si>
  <si>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</si>
  <si>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</si>
  <si>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</si>
  <si>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</si>
  <si>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</si>
  <si>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</si>
  <si>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</si>
  <si>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</si>
  <si>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</si>
  <si>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</si>
  <si>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</si>
  <si>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</si>
  <si>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</si>
  <si>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</si>
  <si>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</si>
  <si>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</si>
  <si>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</si>
  <si>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</si>
  <si>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</si>
  <si>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</si>
  <si>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</si>
  <si>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</si>
  <si>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</si>
  <si>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</si>
  <si>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</si>
  <si>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</si>
  <si>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</si>
  <si>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</si>
  <si>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</si>
  <si>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</si>
  <si>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</si>
  <si>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</si>
  <si>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</si>
  <si>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</si>
  <si>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</si>
  <si>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</si>
  <si>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</si>
  <si>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</si>
  <si>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</si>
  <si>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</si>
  <si>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</si>
  <si>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</si>
  <si>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</si>
  <si>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</si>
  <si>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</si>
  <si>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</si>
  <si>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</si>
  <si>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</si>
  <si>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</si>
  <si>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</si>
  <si>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</si>
  <si>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</si>
  <si>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</si>
  <si>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</si>
  <si>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</si>
  <si>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</si>
  <si>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</si>
  <si>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</si>
  <si>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</si>
  <si>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</si>
  <si>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</si>
  <si>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</si>
  <si>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</si>
  <si>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</si>
  <si>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</si>
  <si>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</si>
  <si>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</si>
  <si>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</si>
  <si>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</si>
  <si>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</si>
  <si>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</si>
  <si>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</si>
  <si>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</si>
  <si>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</si>
  <si>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</si>
  <si>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</si>
  <si>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</si>
  <si>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</si>
  <si>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</si>
  <si>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</si>
  <si>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</si>
  <si>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</si>
  <si>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</si>
  <si>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</si>
  <si>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</si>
  <si>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</si>
  <si>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</si>
  <si>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</si>
  <si>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</si>
  <si>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</si>
  <si>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</si>
  <si>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</si>
  <si>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</si>
  <si>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</si>
  <si>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</si>
  <si>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</si>
  <si>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</si>
  <si>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</si>
  <si>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</si>
  <si>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</si>
  <si>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</si>
  <si>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</si>
  <si>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</si>
  <si>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</si>
  <si>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</si>
  <si>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</si>
  <si>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</si>
  <si>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</si>
  <si>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</si>
  <si>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</si>
  <si>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</si>
  <si>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</si>
  <si>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</si>
  <si>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</si>
  <si>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</si>
  <si>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</si>
  <si>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</si>
  <si>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</si>
  <si>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</si>
  <si>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</si>
  <si>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</si>
  <si>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</si>
  <si>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</si>
  <si>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</si>
  <si>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</si>
  <si>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</si>
  <si>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</si>
  <si>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</si>
  <si>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</si>
  <si>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</si>
  <si>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</si>
  <si>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</si>
  <si>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</si>
  <si>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</si>
  <si>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</si>
  <si>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</si>
  <si>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</si>
  <si>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</si>
  <si>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</si>
  <si>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</si>
  <si>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</si>
  <si>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</si>
  <si>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</si>
  <si>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</si>
  <si>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</si>
  <si>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</si>
  <si>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</si>
  <si>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</si>
  <si>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</si>
  <si>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</si>
  <si>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</si>
  <si>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</si>
  <si>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</si>
  <si>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</si>
  <si>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</si>
  <si>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</si>
  <si>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</si>
  <si>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</si>
  <si>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</si>
  <si>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</si>
  <si>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</si>
  <si>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</si>
  <si>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</si>
  <si>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</si>
  <si>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</si>
  <si>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</si>
  <si>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</si>
  <si>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</si>
  <si>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</si>
  <si>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</si>
  <si>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</si>
  <si>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</si>
  <si>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</si>
  <si>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</si>
  <si>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</si>
  <si>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</si>
  <si>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</si>
  <si>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</si>
  <si>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</si>
  <si>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</si>
  <si>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</si>
  <si>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</si>
  <si>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</si>
  <si>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</si>
  <si>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</si>
  <si>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</si>
  <si>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</si>
  <si>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</si>
  <si>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</si>
  <si>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</si>
  <si>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</si>
  <si>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</si>
  <si>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</si>
  <si>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</si>
  <si>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</si>
  <si>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</si>
  <si>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</si>
  <si>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</si>
  <si>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</si>
  <si>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</si>
  <si>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</si>
  <si>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</si>
  <si>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</si>
  <si>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</si>
  <si>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</si>
  <si>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</si>
  <si>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</si>
  <si>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</si>
  <si>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</si>
  <si>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</si>
  <si>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</si>
  <si>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</si>
  <si>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</si>
  <si>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</si>
  <si>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</si>
  <si>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</si>
  <si>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</si>
  <si>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</si>
  <si>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</si>
  <si>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</si>
  <si>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</si>
  <si>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</si>
  <si>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</si>
  <si>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</si>
  <si>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</si>
  <si>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</si>
  <si>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</si>
  <si>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</si>
  <si>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</si>
  <si>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</si>
  <si>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</si>
  <si>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</si>
  <si>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</si>
  <si>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</si>
  <si>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</si>
  <si>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</si>
  <si>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</si>
  <si>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</si>
  <si>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</si>
  <si>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</si>
  <si>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</si>
  <si>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</si>
  <si>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</si>
  <si>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</si>
  <si>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</si>
  <si>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</si>
  <si>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</si>
  <si>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</si>
  <si>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</si>
  <si>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</si>
  <si>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</si>
  <si>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</si>
  <si>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</si>
  <si>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</si>
  <si>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</si>
  <si>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</si>
  <si>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</si>
  <si>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</si>
  <si>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</si>
  <si>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</si>
  <si>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</si>
  <si>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</si>
  <si>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</si>
  <si>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</si>
  <si>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</si>
  <si>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</si>
  <si>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</si>
  <si>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</si>
  <si>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</si>
  <si>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</si>
  <si>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</si>
  <si>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</si>
  <si>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</si>
  <si>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</si>
  <si>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</si>
  <si>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</si>
  <si>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</si>
  <si>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</si>
  <si>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</si>
  <si>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</si>
  <si>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</si>
  <si>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</si>
  <si>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</si>
  <si>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</si>
  <si>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</si>
  <si>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</si>
  <si>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</si>
  <si>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</si>
  <si>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</si>
  <si>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</si>
  <si>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</si>
  <si>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</si>
  <si>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</si>
  <si>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</si>
  <si>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</si>
  <si>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</si>
  <si>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</si>
  <si>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</si>
  <si>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</si>
  <si>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</si>
  <si>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</si>
  <si>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</si>
  <si>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</si>
  <si>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</si>
  <si>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</si>
  <si>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</si>
  <si>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</si>
  <si>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</si>
  <si>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</si>
  <si>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</si>
  <si>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</si>
  <si>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</si>
  <si>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</si>
  <si>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103689</t>
  </si>
  <si>
    <t>95995</t>
  </si>
  <si>
    <t>QUALIFICAÇÃO VIÁRIA COM EXECUÇÃO DE RECAPEAMENTO ASFÁLTICO EM RUAS DO MUNICÍPIO DE PILAR DO SUL-SP</t>
  </si>
  <si>
    <t>SERVIÇOS PRELIMINARES</t>
  </si>
  <si>
    <t>02.01.180</t>
  </si>
  <si>
    <t>CDHU</t>
  </si>
  <si>
    <t>54.01.410</t>
  </si>
  <si>
    <t>VARRIÇÃO DE PAVIMENTO PARA RECAPEAMENTO</t>
  </si>
  <si>
    <t>PREFEITURA MUNICIPAL DE PILAR DO SUL</t>
  </si>
  <si>
    <t>PILAR DO SUL</t>
  </si>
  <si>
    <t>QUALIFICAÇÃO VIÁRIA COM EXECUÇÃO DE RECAPEAMENTO ASFÁLTICO EM RUAS DO MUNICÍPIO DE PILAR DO SUL</t>
  </si>
  <si>
    <t>PREFEITO MUNICIPAL DE PILAR DO SUL</t>
  </si>
  <si>
    <t>CLAYTON ÁLVARO MACHADO</t>
  </si>
  <si>
    <t>EDUARDO OLIVEIRA DOS SANTOS JUNIOR</t>
  </si>
  <si>
    <t>5069244515-SP</t>
  </si>
  <si>
    <t>01.17.031</t>
  </si>
  <si>
    <t>PROJETO EXECUTIVO</t>
  </si>
  <si>
    <t>DRENAGEM</t>
  </si>
  <si>
    <t>101232</t>
  </si>
  <si>
    <t>97957</t>
  </si>
  <si>
    <t>92219</t>
  </si>
  <si>
    <t>92221</t>
  </si>
  <si>
    <t>93382</t>
  </si>
  <si>
    <t>96622</t>
  </si>
  <si>
    <t>94293</t>
  </si>
  <si>
    <t>97088</t>
  </si>
  <si>
    <t>97636</t>
  </si>
  <si>
    <t>96397</t>
  </si>
  <si>
    <t>95876</t>
  </si>
  <si>
    <t>23.05.01.99</t>
  </si>
  <si>
    <t>23.05.02.99</t>
  </si>
  <si>
    <t>DER</t>
  </si>
  <si>
    <t>IMPRIMADURA BETUMINOSA IMPERMEABILIZANTE</t>
  </si>
  <si>
    <t>IMPRIMADURA BETUMINOSA LIGANTE</t>
  </si>
  <si>
    <t>BANHEIRO QUÍMICO MODELO STANDART, COM MANUTENÇÃO CONFORME EXIGÊNCIAS DA CETESB</t>
  </si>
  <si>
    <t>UM/MÊS</t>
  </si>
  <si>
    <t>RECAPEAMENTO/RECUPERAÇÃO/PAVIMENTAÇÃO ASFÁLTICA - TRECHO DA RUA MARCOLINO GOMES DE OLIVEIRA</t>
  </si>
  <si>
    <t>RECAPEAMENTO/RECUPERAÇÃO ASFÁLTICA - TRECHO DA RUA ANTÔNIO BANEDITO DE OLIVEIRA</t>
  </si>
  <si>
    <t>RECAPEAMENTO/RECUPERAÇÃO ASFÁLTICA - TRECHO DA RUA ANTÔNIO MORAES ROSA</t>
  </si>
  <si>
    <t>LEVANTAMENTO FINAL</t>
  </si>
  <si>
    <t>LEVANTAMENTO PLANIMÉTRICO DA ÁREA PAVIMENTADA PARA VEÍCULO E PEDESTRE</t>
  </si>
  <si>
    <t>01.20.280</t>
  </si>
  <si>
    <t>INFRAESTRUTURA URBANA COM RECUPERAÇÃO, DRENAGEM E RECAPEAMENTO ASFÁLTICO RUAS DO MUNICÍPIO DE PILAR DO SUL</t>
  </si>
  <si>
    <t>11213/2025</t>
  </si>
  <si>
    <t>Dimensões: 2,40mx1,20m=</t>
  </si>
  <si>
    <t xml:space="preserve">6 unidades </t>
  </si>
  <si>
    <t>Extensão 120m</t>
  </si>
  <si>
    <t>Extensão 47,41m</t>
  </si>
  <si>
    <t>Extensão 80,36m</t>
  </si>
  <si>
    <t>80,36mx1mx1,48kg/m²=118,93kg</t>
  </si>
  <si>
    <t xml:space="preserve">Área de demolição1857,89m² </t>
  </si>
  <si>
    <t>Escavação=1857,89m² x 16,5cm(profundidade)=306,55</t>
  </si>
  <si>
    <t>Base BGTC=1857,89m² x 16,5cm(profundidade)=306,55</t>
  </si>
  <si>
    <t xml:space="preserve">Volume de transporte de BGTC x distância = 306,55m³ x 30km = 9.196,56m³ x km </t>
  </si>
  <si>
    <t>Área de recapeamento = 1891,62m²+1728,47m²=3620,09m²</t>
  </si>
  <si>
    <t>Área da pavimentação= 1857,89m²</t>
  </si>
  <si>
    <t>Área da pavimentação + Área de recapeamento= 1857,89m²+1891,62m²+1728,47m²=5477,98m²</t>
  </si>
  <si>
    <t>Volume de transporte de CBUQ x distância = 191,73m³ x 30km = 5751,90m³ x km</t>
  </si>
  <si>
    <t>Área de recapeamento = 3.122,93m²</t>
  </si>
  <si>
    <t>Área de recapeamento= 3.122,93m²</t>
  </si>
  <si>
    <t>(Área da pavimentação + Área de recapeamento)x espessura= 5477,98m²x3,5cm(espessura)=191,73m³</t>
  </si>
  <si>
    <t>Área de recapeamentox espessura= 3.122,93m²x3,5cm(espessura)=109,30m³</t>
  </si>
  <si>
    <t>Volume de transporte de BGTC x distância = 109,30m³ x 30km = 3.279,00m³ x km</t>
  </si>
  <si>
    <t>(Tubo de 40cm = 120,00m x 1,00m x 1,20m = 144,00m³  + Tubo de 60cm =  47,41m x 1,20m x 1,20m = 68,270m³)=212,27m³</t>
  </si>
  <si>
    <t>100576</t>
  </si>
  <si>
    <t>Área de pavimentação=1857,89m²</t>
  </si>
  <si>
    <t xml:space="preserve">Lastro para a execução do sarjetão = (80,36m² x 0,05 m=4,02m³  /  Lastro para a execução do tubo = 100m x 0,4 m x 0,05 m=8,00m³  /  Lastro para a execução do tubo = 47,41 m x 0,6 m x 0,05 m=5,69m³)=7,84m³ </t>
  </si>
  <si>
    <t>Reaterro e compactação do solo após a instalação do tubo 400mm =((120x1x1,20)-(120x3,14x0,25x0,25)-2,4=118,05m³  /  Reaterro e compactação do solo após a instalação do tubo 600mm = (47,41x1,2x1,2)-(47,41x3,14x0,35x0,35)-1,42= 48,61m³)=166,65m³</t>
  </si>
  <si>
    <t>Área de recapeamento = 2.064,87m²</t>
  </si>
  <si>
    <t>Área de recapeamentox espessura= 2.064,87m²x3,5cm(espessura)=47,68m³</t>
  </si>
  <si>
    <t>Volume de transporte de BGTC x distância = 72,27m³ x 30km = 2168,11m³ x km</t>
  </si>
  <si>
    <t>Área da pavimentação + Área de recapeamento= 1857,89m²+1891,62m²+1728,47m²+3.122,93m²+2.064,87m²=</t>
  </si>
  <si>
    <t>1. SERVIÇOS PRELIMINARES</t>
  </si>
  <si>
    <t>2620260743929</t>
  </si>
  <si>
    <t>99259</t>
  </si>
  <si>
    <t>2 unidades</t>
  </si>
  <si>
    <t>1101329-56</t>
  </si>
  <si>
    <t>1</t>
  </si>
  <si>
    <t>1.1</t>
  </si>
  <si>
    <t>FORNECIMENTO E INSTALAÇÃO DE PLACA DE OBRA COM CHAPA GALVANIZADA E ESTRUTURA DE MADEIRA. AF_03/2022_PS</t>
  </si>
  <si>
    <t>24,33%</t>
  </si>
  <si>
    <t>1.2</t>
  </si>
  <si>
    <t>CDHU01.17.031</t>
  </si>
  <si>
    <t>1.3</t>
  </si>
  <si>
    <t>CDHU02.01.180</t>
  </si>
  <si>
    <t>2</t>
  </si>
  <si>
    <t>2.1</t>
  </si>
  <si>
    <t>ESCAVAÇÃO VERTICAL PARA INFRAESTRUTURA, COM CARGA, DESCARGA E TRANSPORTE DE SOLO DE 1ª CATEGORIA, COM ESCAVADEIRA HIDRÁULICA (CAÇAMBA: 1,2 M³ / 155 HP), FROTA DE 3 CAMINHÕES BASCULANTES DE 14 M³, DMT ATÉ 1 KM E VELOCIDADE MÉDIA14 KM/H. AF_05/2020</t>
  </si>
  <si>
    <t>2.2</t>
  </si>
  <si>
    <t>CAIXA PARA BOCA DE LOBO DUPLA RETANGULAR, EM ALVENARIA COM BLOCOS DE CONCRETO, DIMENSÕES INTERNAS: 0,6X2,2X1,2 M. AF_12/2020</t>
  </si>
  <si>
    <t>2.3</t>
  </si>
  <si>
    <t>BASE PARA POÇO DE VISITA RETANGULAR PARA DRENAGEM, EM ALVENARIA COM BLOCOS DE CONCRETO, DIMENSÕES INTERNAS = 1X1,5 M, PROFUNDIDADE = 1,40 M, EXCLUINDO TAMPÃO. AF_12/2020</t>
  </si>
  <si>
    <t>2.4</t>
  </si>
  <si>
    <t>TUBO DE CONCRETO PARA REDES COLETORAS DE ÁGUAS PLUVIAIS, DIÂMETRO DE 400 MM, JUNTA RÍGIDA, INSTALADO EM LOCAL COM ALTO NÍVEL DE INTERFERÊNCIAS - FORNECIMENTO E ASSENTAMENTO. AF_03/2024</t>
  </si>
  <si>
    <t>2.5</t>
  </si>
  <si>
    <t>TUBO DE CONCRETO PARA REDES COLETORAS DE ÁGUAS PLUVIAIS, DIÂMETRO DE 600 MM, JUNTA RÍGIDA, INSTALADO EM LOCAL COM ALTO NÍVEL DE INTERFERÊNCIAS - FORNECIMENTO E ASSENTAMENTO. AF_03/2024</t>
  </si>
  <si>
    <t>2.6</t>
  </si>
  <si>
    <t>REATERRO MANUAL DE VALAS, COM COMPACTADOR DE SOLOS DE PERCUSSÃO. AF_08/2023</t>
  </si>
  <si>
    <t>2.7</t>
  </si>
  <si>
    <t>LASTRO COM MATERIAL GRANULAR, APLICADO EM PISOS OU LAJES SOBRE SOLO, ESPESSURA DE *5 CM*. AF_01/2024</t>
  </si>
  <si>
    <t>2.8</t>
  </si>
  <si>
    <t>EXECUÇÃO DE SARJETÃO DE CONCRETO USINADO, MOLDADA IN LOCO EM TRECHO RETO, 100 CM BASE X 20 CM ALTURA. AF_01/2024</t>
  </si>
  <si>
    <t>2.9</t>
  </si>
  <si>
    <t>ARMAÇÃO PARA EXECUÇÃO DE RADIER, PISO DE CONCRETO OU LAJE SOBRE SOLO, COM USO DE TELA Q-92. AF_09/2021</t>
  </si>
  <si>
    <t>3</t>
  </si>
  <si>
    <t>3.1</t>
  </si>
  <si>
    <t>DEMOLIÇÃO PARCIAL DE PAVIMENTO ASFÁLTICO, DE FORMA MECANIZADA, SEM REAPROVEITAMENTO. AF_09/2023</t>
  </si>
  <si>
    <t>3.2</t>
  </si>
  <si>
    <t>3.3</t>
  </si>
  <si>
    <t>REGULARIZAÇÃO E COMPACTAÇÃO DE SUBLEITO DE SOLO PREDOMINANTEMENTE ARGILOSO, PARA OBRAS DE CONSTRUÇÃO DE PAVIMENTOS. AF_09/2024</t>
  </si>
  <si>
    <t>3.4</t>
  </si>
  <si>
    <t>CONSTRUÇÃO DE BASE E SUB-BASE PARA PAVIMENTAÇÃO DE BRITA GRADUADA SIMPLES TRATADA COM CIMENTO, COM ESPESSURA DE 15 CM - EXCLUSIVE CARGA E TRANSPORTE. AF_09/2024</t>
  </si>
  <si>
    <t>3.5</t>
  </si>
  <si>
    <t>TRANSPORTE COM CAMINHÃO BASCULANTE DE 14 M³, EM VIA URBANA PAVIMENTADA, DMT ATÉ 30 KM (UNIDADE: M3XKM). AF_07/2020</t>
  </si>
  <si>
    <t>3.6</t>
  </si>
  <si>
    <t>CDHU54.01.410</t>
  </si>
  <si>
    <t>3.7</t>
  </si>
  <si>
    <t>DE23.05.01.99</t>
  </si>
  <si>
    <t>3.8</t>
  </si>
  <si>
    <t>DE23.05.02.99</t>
  </si>
  <si>
    <t>3.9</t>
  </si>
  <si>
    <t>EXECUÇÃO DE PAVIMENTO COM APLICAÇÃO DE CONCRETO ASFÁLTICO, CAMADA DE ROLAMENTO - EXCLUSIVE CARGA E TRANSPORTE. AF_10/2025</t>
  </si>
  <si>
    <t>3.10</t>
  </si>
  <si>
    <t>4</t>
  </si>
  <si>
    <t>4.1</t>
  </si>
  <si>
    <t>4.2</t>
  </si>
  <si>
    <t>4.3</t>
  </si>
  <si>
    <t>4.4</t>
  </si>
  <si>
    <t>5</t>
  </si>
  <si>
    <t>5.1</t>
  </si>
  <si>
    <t>5.2</t>
  </si>
  <si>
    <t>5.3</t>
  </si>
  <si>
    <t>5.4</t>
  </si>
  <si>
    <t>6</t>
  </si>
  <si>
    <t>6.1</t>
  </si>
  <si>
    <t>CDHU01.20.280</t>
  </si>
  <si>
    <t>Valor não utilizado (QCI):</t>
  </si>
  <si>
    <t>SERVIÇOS PRELIMINARES ETAPA 1</t>
  </si>
  <si>
    <t>SERVIÇOS PRELIMINARES ETAPA 2</t>
  </si>
  <si>
    <t xml:space="preserve">BANHEIRO QUÍMICO MODELO STANDART, COM MANUTENÇÃO CONFORME EXIGÊNCIAS DA CETESB </t>
  </si>
  <si>
    <t xml:space="preserve">1 unidade  </t>
  </si>
  <si>
    <t xml:space="preserve">1 unidade </t>
  </si>
  <si>
    <t>3. RECAPEAMENTO TRECHO 1 - RUA JOSÉ FERREIRA DE MOURA</t>
  </si>
  <si>
    <t>3. DRENAGEM</t>
  </si>
  <si>
    <t>4. RECAPEAMENTO TRECHO 2 - RUA ADRIANO FERREIRA LEITE</t>
  </si>
  <si>
    <t>4. RECAPEAMENTO/RECUPERAÇÃO/PAVIMENTAÇÃO ASFÁLTICA - TRECHO DA RUA MARCOLINO GOMES DE OLIVEIRA</t>
  </si>
  <si>
    <t>5. RECAPEAMENTO TRECHO 3 - RUA CRISTIANO J. O. CARVALHO</t>
  </si>
  <si>
    <t>6. RECAPEAMENTO TRECHO 4 - RUA BENEDITO B. BRISOLA</t>
  </si>
  <si>
    <t>7. LEVANTAMENTO FINAL</t>
  </si>
  <si>
    <t>2. SERVIÇOS PRELIMINARES ETAPA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</si>
</sst>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2"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
      <sz val="10"/>
      <color rgb="FF333333"/>
      <name val="Arial"/>
      <family val="2"/>
    </font>
  </fonts>
  <fills count="34">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
      <patternFill patternType="solid">
        <fgColor indexed="65" tint="-0.14996795556505021"/>
        <bgColor indexed="64"/>
      </patternFill>
    </fill>
  </fills>
  <borders count="1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81" fillId="6" borderId="31" xfId="0" applyFont="1" applyFill="1" applyBorder="1" applyAlignment="1" applyProtection="1">
      <alignment horizontal="left" vertical="center"/>
      <protection locked="0"/>
    </xf>
    <xf numFmtId="0" fontId="67" fillId="0" borderId="0" xfId="50" applyAlignment="1">
      <alignment horizontal="right"/>
    </xf>
    <xf numFmtId="180" fontId="56" fillId="33" borderId="144" xfId="31" applyFill="1" applyBorder="1"/>
    <xf numFmtId="0" fontId="56" fillId="0" borderId="144" xfId="50" applyFont="1" applyBorder="1" applyAlignment="1">
      <alignment horizontal="center" vertical="center" wrapText="1"/>
    </xf>
    <xf numFmtId="0" fontId="24" fillId="0" borderId="30" xfId="35"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0" fontId="0" fillId="0" borderId="13" xfId="33" applyFont="1" applyBorder="1" applyAlignment="1">
      <alignment horizontal="left" vertical="top" wrapText="1"/>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39" fillId="0" borderId="0" xfId="0" applyFont="1" applyAlignment="1">
      <alignment horizontal="center" textRotation="90"/>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24" fillId="0" borderId="12" xfId="0" applyFont="1" applyBorder="1" applyAlignment="1">
      <alignment horizontal="center"/>
    </xf>
    <xf numFmtId="186" fontId="0" fillId="0" borderId="0" xfId="0" applyNumberFormat="1" applyAlignment="1">
      <alignment horizontal="left"/>
    </xf>
    <xf numFmtId="0" fontId="30" fillId="6" borderId="13" xfId="0" applyFont="1" applyFill="1" applyBorder="1" applyAlignment="1" applyProtection="1">
      <alignment horizontal="left" vertical="top" wrapText="1"/>
      <protection locked="0"/>
    </xf>
    <xf numFmtId="167" fontId="0" fillId="0" borderId="29" xfId="0" applyNumberFormat="1" applyBorder="1" applyAlignment="1">
      <alignment horizontal="left"/>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17" fillId="0" borderId="31" xfId="0" applyFont="1" applyBorder="1" applyAlignment="1">
      <alignment horizontal="left" wrapText="1"/>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0" fillId="0" borderId="39" xfId="0" applyBorder="1" applyAlignment="1">
      <alignment horizontal="left"/>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0" fontId="0" fillId="18" borderId="39" xfId="0" applyFill="1" applyBorder="1"/>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33"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8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val="0"/>
        <condense val="0"/>
        <extend val="0"/>
        <color indexed="9"/>
      </font>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o00qpuf8huy94LIgykgaChH317wh8MpOpUuZaxi44dt+MQKFMD4T9hNSPUR5UIuRve3ttmfR0zgEhCnxLyYf7Q==" saltValue="oDZGBL63bBZDXoQmBwjcJ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95" t="str">
        <f>CHOOSE(MATCH(Objeto,{"PM","PO"}),"PLANILHA MÚLTIPLA ","PLANILHA ORÇAMENTÁRIA ")&amp; Versao</f>
        <v>PLANILHA MÚLTIPLA v3.16</v>
      </c>
      <c r="F2" s="695"/>
      <c r="G2" s="695"/>
      <c r="H2" s="408"/>
      <c r="I2" s="406"/>
      <c r="J2" s="491" t="s">
        <v>1004</v>
      </c>
      <c r="K2" s="510" t="b">
        <v>1</v>
      </c>
    </row>
    <row r="3" spans="1:15" ht="22.5" customHeight="1" x14ac:dyDescent="0.2">
      <c r="A3" s="404"/>
      <c r="B3" s="406"/>
      <c r="C3" s="406"/>
      <c r="D3" s="406"/>
      <c r="E3" s="695"/>
      <c r="F3" s="695"/>
      <c r="G3" s="695"/>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94" t="str">
        <f>IF($O$3&lt;&gt;2,"DOCUMENTAÇÃO DA PROPOSTA","PROPOSTA: Para visualizar/preencher esta seção, altere o TIPO DE ORÇAMENTO para 'Proposto'")</f>
        <v>DOCUMENTAÇÃO DA PROPOSTA</v>
      </c>
      <c r="C8" s="694"/>
      <c r="D8" s="694"/>
      <c r="E8" s="694"/>
      <c r="F8" s="694"/>
      <c r="G8" s="694"/>
      <c r="H8" s="694"/>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01-2026.xlsm.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94" t="str">
        <f>IF($O$3&lt;&gt;2,"PÓS-LICITADO: Para visualizar/preencher esta seção, altere o TIPO DE ORÇAMENTO para 'Licitado'","RESULTADO DO PROCESSO LICITATÓRIO")</f>
        <v>PÓS-LICITADO: Para visualizar/preencher esta seção, altere o TIPO DE ORÇAMENTO para 'Licitado'</v>
      </c>
      <c r="C16" s="694"/>
      <c r="D16" s="694"/>
      <c r="E16" s="694"/>
      <c r="F16" s="694"/>
      <c r="G16" s="694"/>
      <c r="H16" s="694"/>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94" t="str">
        <f>IF($O$3&lt;&gt;2,"ACOMPANHAMENTO: Para visualizar/preencher esta seção, altere o TIPO DE ORÇAMENTO para 'Licitado'","ACOMPANHAMENTO DO EMPREENDIMENTO")</f>
        <v>ACOMPANHAMENTO: Para visualizar/preencher esta seção, altere o TIPO DE ORÇAMENTO para 'Licitado'</v>
      </c>
      <c r="C20" s="694"/>
      <c r="D20" s="694"/>
      <c r="E20" s="694"/>
      <c r="F20" s="694"/>
      <c r="G20" s="694"/>
      <c r="H20" s="694"/>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rvhCYAbMekgUY3qdlizM60QWqHk/H3uqtWngfgmaiJRDUbeR8wAbVzEwbPOGi7hbubYE5VxNRpYDdx8HOLrPXw==" saltValue="uJvw6iMhGz7tLOr7XlB5GQ==" spinCount="100000" sheet="1" objects="1" scenarios="1" autoFilter="0"/>
  <mergeCells count="4">
    <mergeCell ref="B20:H20"/>
    <mergeCell ref="B8:H8"/>
    <mergeCell ref="E2:G3"/>
    <mergeCell ref="B16:H16"/>
  </mergeCells>
  <phoneticPr fontId="38" type="noConversion"/>
  <conditionalFormatting sqref="C10:G14">
    <cfRule type="expression" dxfId="373" priority="70" stopIfTrue="1">
      <formula>TIPOORCAMENTO="Licitado"</formula>
    </cfRule>
  </conditionalFormatting>
  <conditionalFormatting sqref="C18:G18 E22:E24">
    <cfRule type="expression" dxfId="372" priority="71" stopIfTrue="1">
      <formula>TIPOORCAMENTO&lt;&gt;"Licitado"</formula>
    </cfRule>
  </conditionalFormatting>
  <conditionalFormatting sqref="C22">
    <cfRule type="expression" dxfId="371" priority="73" stopIfTrue="1">
      <formula>OR(TIPOORCAMENTO&lt;&gt;"Licitado",ACOMPANHAMENTO&lt;&gt;"PLE")</formula>
    </cfRule>
  </conditionalFormatting>
  <conditionalFormatting sqref="G22">
    <cfRule type="expression" dxfId="370" priority="74" stopIfTrue="1">
      <formula>OR(TIPOORCAMENTO&lt;&gt;"Licitado",ACOMPANHAMENTO&lt;&gt;"BM")</formula>
    </cfRule>
  </conditionalFormatting>
  <conditionalFormatting sqref="B16:H16 B20:H20">
    <cfRule type="expression" dxfId="369" priority="599" stopIfTrue="1">
      <formula>$O$3&lt;&gt;2</formula>
    </cfRule>
  </conditionalFormatting>
  <conditionalFormatting sqref="B8:H8">
    <cfRule type="expression" dxfId="368"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97" t="s">
        <v>97</v>
      </c>
      <c r="O1" s="697"/>
      <c r="P1" s="697"/>
      <c r="Q1" s="697"/>
      <c r="R1" s="697"/>
      <c r="S1" s="697"/>
      <c r="T1" s="697"/>
      <c r="U1" s="697"/>
      <c r="V1" s="697"/>
      <c r="W1" s="697"/>
      <c r="X1" s="697"/>
      <c r="Y1" s="697"/>
      <c r="Z1" s="697"/>
      <c r="AA1" s="697"/>
      <c r="AB1" s="697"/>
      <c r="AC1" s="697"/>
      <c r="AD1" s="697"/>
      <c r="AE1" s="697"/>
      <c r="AF1" s="697"/>
      <c r="AG1" s="697"/>
      <c r="AH1" s="697"/>
      <c r="AI1" s="697"/>
      <c r="AJ1" s="697"/>
      <c r="AK1" s="697"/>
      <c r="AL1" s="697"/>
      <c r="AM1" s="697"/>
      <c r="AN1" s="697"/>
      <c r="AO1" s="697"/>
      <c r="AP1" s="697"/>
      <c r="AQ1" s="697"/>
      <c r="AR1" s="697"/>
      <c r="AS1" s="697"/>
      <c r="AT1" s="697"/>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96" t="s">
        <v>119</v>
      </c>
      <c r="C3" s="696"/>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1015</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1016</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1083</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1050</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960019</v>
      </c>
      <c r="D9" s="563" t="str">
        <f t="shared" ca="1" si="0"/>
        <v/>
      </c>
      <c r="I9" t="s">
        <v>973</v>
      </c>
      <c r="L9" s="12" t="s">
        <v>106</v>
      </c>
      <c r="U9" t="s">
        <v>198</v>
      </c>
      <c r="V9" s="7" t="s">
        <v>126</v>
      </c>
      <c r="W9" t="s">
        <v>199</v>
      </c>
      <c r="X9" s="7" t="s">
        <v>128</v>
      </c>
      <c r="AV9" t="s">
        <v>200</v>
      </c>
      <c r="AW9" t="s">
        <v>201</v>
      </c>
    </row>
    <row r="10" spans="2:49" x14ac:dyDescent="0.2">
      <c r="B10" s="17" t="s">
        <v>202</v>
      </c>
      <c r="C10" s="19">
        <v>121667.62</v>
      </c>
      <c r="D10" s="563" t="str">
        <f t="shared" ca="1" si="0"/>
        <v/>
      </c>
      <c r="L10" s="12" t="s">
        <v>107</v>
      </c>
      <c r="U10" t="s">
        <v>203</v>
      </c>
      <c r="V10" s="7" t="s">
        <v>148</v>
      </c>
      <c r="W10" t="s">
        <v>204</v>
      </c>
      <c r="X10" s="7" t="s">
        <v>121</v>
      </c>
      <c r="AV10" t="s">
        <v>205</v>
      </c>
      <c r="AW10" t="s">
        <v>206</v>
      </c>
    </row>
    <row r="11" spans="2:49" x14ac:dyDescent="0.2">
      <c r="B11" s="17" t="s">
        <v>207</v>
      </c>
      <c r="C11" s="20">
        <v>1E-3</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6" t="s">
        <v>220</v>
      </c>
      <c r="C15" s="696"/>
      <c r="D15" s="562" t="str">
        <f ca="1">IF(COUNTIF(D16:D19,"◄")=0,"","Falta preencher a linha "&amp;MATCH("◄",D16:D19,0)+ROW(D15))</f>
        <v/>
      </c>
      <c r="L15" s="12" t="s">
        <v>112</v>
      </c>
      <c r="AV15" t="s">
        <v>221</v>
      </c>
      <c r="AW15" t="s">
        <v>222</v>
      </c>
    </row>
    <row r="16" spans="2:49" ht="38.25" x14ac:dyDescent="0.2">
      <c r="B16" s="24" t="s">
        <v>223</v>
      </c>
      <c r="C16" s="25" t="s">
        <v>1049</v>
      </c>
      <c r="D16" s="563" t="str">
        <f t="shared" ref="D16:D19" ca="1" si="1">IF(OFFSET(D16,0,-1)="","◄","")</f>
        <v/>
      </c>
      <c r="L16" s="12" t="s">
        <v>113</v>
      </c>
      <c r="AV16" t="s">
        <v>224</v>
      </c>
      <c r="AW16" t="s">
        <v>225</v>
      </c>
    </row>
    <row r="17" spans="2:49" ht="38.25" x14ac:dyDescent="0.2">
      <c r="B17" s="17" t="s">
        <v>226</v>
      </c>
      <c r="C17" s="26" t="s">
        <v>1017</v>
      </c>
      <c r="D17" s="563" t="str">
        <f t="shared" ca="1" si="1"/>
        <v/>
      </c>
      <c r="L17" s="12" t="s">
        <v>114</v>
      </c>
      <c r="AV17" t="s">
        <v>227</v>
      </c>
      <c r="AW17" t="s">
        <v>228</v>
      </c>
    </row>
    <row r="18" spans="2:49" x14ac:dyDescent="0.2">
      <c r="B18" s="17" t="s">
        <v>229</v>
      </c>
      <c r="C18" s="27" t="s">
        <v>965</v>
      </c>
      <c r="D18" s="563" t="str">
        <f ca="1">IF(OR(OFFSET(D18,0,-1)="",OFFSET(D18,0,-1)="(SELECIONAR)"),"◄","")</f>
        <v/>
      </c>
      <c r="L18" s="12" t="s">
        <v>115</v>
      </c>
      <c r="AV18" t="s">
        <v>230</v>
      </c>
      <c r="AW18" t="s">
        <v>231</v>
      </c>
    </row>
    <row r="19" spans="2:49" ht="13.5" thickBot="1" x14ac:dyDescent="0.25">
      <c r="B19" s="28" t="s">
        <v>232</v>
      </c>
      <c r="C19" s="29">
        <v>46023</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96" t="s">
        <v>237</v>
      </c>
      <c r="C21" s="696"/>
      <c r="D21" s="562" t="str">
        <f ca="1">IF(COUNTIF(D22:D25,"◄")=0,"","Falta preencher a linha "&amp;MATCH("◄",D22:D25,0)+ROW(D21))</f>
        <v/>
      </c>
      <c r="L21" s="12"/>
      <c r="AV21" t="s">
        <v>238</v>
      </c>
      <c r="AW21" t="s">
        <v>239</v>
      </c>
    </row>
    <row r="22" spans="2:49" x14ac:dyDescent="0.2">
      <c r="B22" s="15" t="s">
        <v>240</v>
      </c>
      <c r="C22" s="31" t="s">
        <v>1020</v>
      </c>
      <c r="D22" s="563" t="str">
        <f t="shared" ref="D22:D24" ca="1" si="2">IF(OFFSET(D22,0,-1)="","◄","")</f>
        <v/>
      </c>
      <c r="AV22" t="s">
        <v>241</v>
      </c>
      <c r="AW22" t="s">
        <v>242</v>
      </c>
    </row>
    <row r="23" spans="2:49" x14ac:dyDescent="0.2">
      <c r="B23" s="17" t="s">
        <v>243</v>
      </c>
      <c r="C23" s="18" t="s">
        <v>1021</v>
      </c>
      <c r="D23" s="563" t="str">
        <f t="shared" ca="1" si="2"/>
        <v/>
      </c>
      <c r="AV23" t="s">
        <v>244</v>
      </c>
      <c r="AW23" t="s">
        <v>245</v>
      </c>
    </row>
    <row r="24" spans="2:49" x14ac:dyDescent="0.2">
      <c r="B24" s="17" t="s">
        <v>246</v>
      </c>
      <c r="C24" s="18" t="s">
        <v>1080</v>
      </c>
      <c r="D24" s="563" t="str">
        <f t="shared" ca="1" si="2"/>
        <v/>
      </c>
      <c r="AV24" t="s">
        <v>247</v>
      </c>
      <c r="AW24" t="s">
        <v>248</v>
      </c>
    </row>
    <row r="25" spans="2:49" ht="13.5" thickBot="1" x14ac:dyDescent="0.25">
      <c r="B25" s="21" t="s">
        <v>249</v>
      </c>
      <c r="C25" s="32">
        <f ca="1">TODAY()</f>
        <v>46142</v>
      </c>
      <c r="D25" s="563" t="s">
        <v>250</v>
      </c>
      <c r="AV25" t="s">
        <v>251</v>
      </c>
      <c r="AW25" t="s">
        <v>252</v>
      </c>
    </row>
    <row r="26" spans="2:49" ht="13.5" thickBot="1" x14ac:dyDescent="0.25">
      <c r="AV26" t="s">
        <v>253</v>
      </c>
      <c r="AW26" t="s">
        <v>254</v>
      </c>
    </row>
    <row r="27" spans="2:49" ht="15.75" thickBot="1" x14ac:dyDescent="0.3">
      <c r="B27" s="696" t="s">
        <v>255</v>
      </c>
      <c r="C27" s="696"/>
      <c r="D27" s="562" t="str">
        <f ca="1">IF(COUNTIF(D28:D29,"◄")=0,"","Falta preencher a linha "&amp;MATCH("◄",D28:D29,0)+ROW(D27))</f>
        <v/>
      </c>
      <c r="AV27" t="s">
        <v>256</v>
      </c>
      <c r="AW27" t="s">
        <v>257</v>
      </c>
    </row>
    <row r="28" spans="2:49" x14ac:dyDescent="0.2">
      <c r="B28" s="13" t="s">
        <v>240</v>
      </c>
      <c r="C28" s="33" t="s">
        <v>1019</v>
      </c>
      <c r="D28" s="563" t="str">
        <f t="shared" ref="D28:D29" ca="1" si="3">IF(OFFSET(D28,0,-1)="","◄","")</f>
        <v/>
      </c>
      <c r="AV28" t="s">
        <v>258</v>
      </c>
      <c r="AW28" t="s">
        <v>259</v>
      </c>
    </row>
    <row r="29" spans="2:49" ht="13.5" thickBot="1" x14ac:dyDescent="0.25">
      <c r="B29" s="21" t="s">
        <v>260</v>
      </c>
      <c r="C29" s="34" t="s">
        <v>1018</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6" t="s">
        <v>273</v>
      </c>
      <c r="C35" s="696"/>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6" t="s">
        <v>303</v>
      </c>
      <c r="C46" s="696"/>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IF(AND(TIPOORCAMENTO="Licitado",OFFSET(D47,0,-1)="",IFERROR(RRE!$O$19,0)&gt;0),"◄","")</f>
        <v/>
      </c>
      <c r="AV47" t="s">
        <v>307</v>
      </c>
      <c r="AW47" t="s">
        <v>308</v>
      </c>
    </row>
    <row r="48" spans="2:49" ht="13.5" thickBot="1" x14ac:dyDescent="0.25">
      <c r="B48" s="28" t="s">
        <v>309</v>
      </c>
      <c r="C48" s="37"/>
      <c r="D48" s="563" t="str" cm="1">
        <f t="array" aca="1" ref="D48" ca="1">IF(AND(TIPOORCAMENTO="Licitado",OFFSET(D48,0,-1)="",IFERROR(RRE!$O$19,0)&gt;0),"◄","")</f>
        <v/>
      </c>
      <c r="AV48" t="s">
        <v>310</v>
      </c>
      <c r="AW48" t="s">
        <v>311</v>
      </c>
    </row>
    <row r="49" spans="2:49" ht="16.5" thickBot="1" x14ac:dyDescent="0.25">
      <c r="B49" s="8"/>
      <c r="AV49" t="s">
        <v>312</v>
      </c>
      <c r="AW49" t="s">
        <v>313</v>
      </c>
    </row>
    <row r="50" spans="2:49" ht="12.75" customHeight="1" thickBot="1" x14ac:dyDescent="0.3">
      <c r="B50" s="696" t="s">
        <v>314</v>
      </c>
      <c r="C50" s="696"/>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IF(AND(TIPOORCAMENTO="Licitado",OFFSET(D51,0,-1)="",IFERROR(RRE!$O$19,0)&gt;0),"◄","")</f>
        <v/>
      </c>
      <c r="AV51" t="s">
        <v>317</v>
      </c>
      <c r="AW51" t="s">
        <v>318</v>
      </c>
    </row>
    <row r="52" spans="2:49" x14ac:dyDescent="0.2">
      <c r="B52" s="17" t="s">
        <v>319</v>
      </c>
      <c r="C52" s="18"/>
      <c r="D52" s="563" t="str" cm="1">
        <f t="array" aca="1" ref="D52" ca="1">IF(AND(TIPOORCAMENTO="Licitado",OFFSET(D52,0,-1)="",IFERROR(RRE!$O$19,0)&gt;0),"◄","")</f>
        <v/>
      </c>
      <c r="AV52" t="s">
        <v>320</v>
      </c>
      <c r="AW52" t="s">
        <v>321</v>
      </c>
    </row>
    <row r="53" spans="2:49" x14ac:dyDescent="0.2">
      <c r="B53" s="17" t="s">
        <v>322</v>
      </c>
      <c r="C53" s="18"/>
      <c r="D53" s="563" t="str" cm="1">
        <f t="array" aca="1" ref="D53" ca="1">IF(AND(TIPOORCAMENTO="Licitado",OFFSET(D53,0,-1)="",IFERROR(RRE!$O$19,0)&gt;0),"◄","")</f>
        <v/>
      </c>
      <c r="AV53" t="s">
        <v>323</v>
      </c>
      <c r="AW53" t="s">
        <v>324</v>
      </c>
    </row>
    <row r="54" spans="2:49" ht="13.5" thickBot="1" x14ac:dyDescent="0.25">
      <c r="B54" s="21" t="s">
        <v>325</v>
      </c>
      <c r="C54" s="39"/>
      <c r="D54" s="563" t="str" cm="1">
        <f t="array" aca="1" ref="D54" ca="1">IF(AND(TIPOORCAMENTO="Licitado",OFFSET(D54,0,-1)="",IFERROR(RRE!$O$19,0)&gt;0),"◄","")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6" t="s">
        <v>337</v>
      </c>
      <c r="C59" s="696"/>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Y2GhC1FD7Qct59SY+fWauGLecBcGjMoJIqkXn0KlcJCHD5syqw/rlo0DZl/fkPLurLmD7J2BzrHStA7IhYlkrQ==" saltValue="ibuqOJpljWlX+g3hwPprJ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67" priority="2" stopIfTrue="1">
      <formula>CAIXA.Modo=FALSE</formula>
    </cfRule>
  </conditionalFormatting>
  <conditionalFormatting sqref="B59:C61">
    <cfRule type="expression" dxfId="366"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98" t="s">
        <v>644</v>
      </c>
      <c r="S1" s="698"/>
    </row>
    <row r="2" spans="1:21" x14ac:dyDescent="0.2">
      <c r="A2" s="49" t="s">
        <v>645</v>
      </c>
      <c r="B2" s="53" t="s">
        <v>646</v>
      </c>
      <c r="C2" s="49" t="str">
        <f t="shared" ref="C2:C49" si="0">CONCATENATE(A2,"-",B2)</f>
        <v>Construção e Reforma de Edifícios-AC</v>
      </c>
      <c r="E2" s="54">
        <v>0.03</v>
      </c>
      <c r="F2" s="54">
        <v>0.04</v>
      </c>
      <c r="G2" s="54">
        <v>5.5E-2</v>
      </c>
      <c r="R2" s="699" t="s">
        <v>647</v>
      </c>
      <c r="S2" s="699"/>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79" t="s">
        <v>650</v>
      </c>
      <c r="K4" s="679"/>
      <c r="L4" s="679" t="s">
        <v>651</v>
      </c>
      <c r="M4" s="679"/>
      <c r="N4" s="679" t="s">
        <v>652</v>
      </c>
      <c r="O4" s="679"/>
      <c r="P4" s="679"/>
      <c r="Q4" s="679"/>
      <c r="R4" s="679"/>
      <c r="S4" s="679"/>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2" t="str">
        <f>Import.CR</f>
        <v>1101329-56</v>
      </c>
      <c r="K5" s="682"/>
      <c r="L5" s="682" t="str">
        <f>Import.TransfereGOV</f>
        <v>11213/2025</v>
      </c>
      <c r="M5" s="682"/>
      <c r="N5" s="682" t="str">
        <f>Import.Proponente</f>
        <v>PREFEITURA MUNICIPAL DE PILAR DO SUL</v>
      </c>
      <c r="O5" s="682"/>
      <c r="P5" s="682"/>
      <c r="Q5" s="682"/>
      <c r="R5" s="682"/>
      <c r="S5" s="682"/>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86"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86"/>
      <c r="J7" s="679" t="s">
        <v>657</v>
      </c>
      <c r="K7" s="679"/>
      <c r="L7" s="679"/>
      <c r="M7" s="679"/>
      <c r="N7" s="679"/>
      <c r="O7" s="679"/>
      <c r="P7" s="679"/>
      <c r="Q7" s="679"/>
      <c r="R7" s="679"/>
      <c r="S7" s="679"/>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86"/>
      <c r="J8" s="702" t="str">
        <f>Import.Apelido&amp;" / "&amp;Import.DescLote</f>
        <v>INFRAESTRUTURA URBANA COM RECUPERAÇÃO, DRENAGEM E RECAPEAMENTO ASFÁLTICO RUAS DO MUNICÍPIO DE PILAR DO SUL / QUALIFICAÇÃO VIÁRIA COM EXECUÇÃO DE RECAPEAMENTO ASFÁLTICO EM RUAS DO MUNICÍPIO DE PILAR DO SUL</v>
      </c>
      <c r="K8" s="702"/>
      <c r="L8" s="702"/>
      <c r="M8" s="702"/>
      <c r="N8" s="702"/>
      <c r="O8" s="702"/>
      <c r="P8" s="702"/>
      <c r="Q8" s="702"/>
      <c r="R8" s="702"/>
      <c r="S8" s="702"/>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86"/>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86"/>
      <c r="J10" s="703" t="s">
        <v>659</v>
      </c>
      <c r="K10" s="703"/>
      <c r="L10" s="703"/>
      <c r="M10" s="703"/>
      <c r="N10" s="703"/>
      <c r="O10" s="703"/>
      <c r="P10" s="703"/>
      <c r="Q10" s="703"/>
      <c r="R10" s="701">
        <v>1</v>
      </c>
      <c r="S10" s="701"/>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0" t="s">
        <v>661</v>
      </c>
      <c r="K11" s="700"/>
      <c r="L11" s="700"/>
      <c r="M11" s="700"/>
      <c r="N11" s="700"/>
      <c r="O11" s="700"/>
      <c r="P11" s="700"/>
      <c r="Q11" s="700"/>
      <c r="R11" s="701">
        <v>0.03</v>
      </c>
      <c r="S11" s="701"/>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8" t="s">
        <v>663</v>
      </c>
      <c r="K14" s="708"/>
      <c r="L14" s="708"/>
      <c r="M14" s="708"/>
      <c r="N14" s="708"/>
      <c r="O14" s="708"/>
      <c r="P14" s="708"/>
      <c r="Q14" s="708"/>
      <c r="R14" s="708"/>
      <c r="S14" s="708"/>
      <c r="U14" s="521" t="str">
        <f ca="1">IF(COUNTIF(ORÇAMENTO!$V$15:$V$56,BDI_1.Título)=0,"",IF(OR(Import.BDI.Tipo1="(SELECIONAR)",Import.BDI.Tipo1="",U17&lt;&gt;"",AND($J17&lt;&gt;$A$145,OR(S21="",S22="",AND($J17&lt;&gt;$A$146,OR(S23="",S24="")),S25="",S26=""))),"Falta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79" t="s">
        <v>664</v>
      </c>
      <c r="K16" s="679"/>
      <c r="L16" s="679"/>
      <c r="M16" s="679"/>
      <c r="N16" s="679"/>
      <c r="O16" s="679"/>
      <c r="P16" s="679"/>
      <c r="Q16" s="679"/>
      <c r="R16" s="679"/>
      <c r="S16" s="679"/>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5" t="s">
        <v>658</v>
      </c>
      <c r="K17" s="705"/>
      <c r="L17" s="705"/>
      <c r="M17" s="705"/>
      <c r="N17" s="705"/>
      <c r="O17" s="705"/>
      <c r="P17" s="705"/>
      <c r="Q17" s="705"/>
      <c r="R17" s="705"/>
      <c r="S17" s="705"/>
      <c r="T17" s="563" t="str">
        <f ca="1">IF(U17="","","◄")</f>
        <v/>
      </c>
      <c r="U17" s="562" t="str">
        <f ca="1">IF(AND(OR(S29&gt;0,COUNTIF(ORÇAMENTO!$V$15:$V$56,BDI_1.Título)&gt;0),OR(Import.BDI.Tipo1="(SELECIONAR)",Import.BDI.Tipo1="")),"Selecione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7" t="s">
        <v>666</v>
      </c>
      <c r="K19" s="707"/>
      <c r="L19" s="707"/>
      <c r="M19" s="707"/>
      <c r="N19" s="707"/>
      <c r="O19" s="707"/>
      <c r="P19" s="707"/>
      <c r="Q19" s="707"/>
      <c r="R19" s="707" t="s">
        <v>667</v>
      </c>
      <c r="S19" s="706" t="s">
        <v>668</v>
      </c>
      <c r="U19" s="706" t="s">
        <v>669</v>
      </c>
      <c r="V19" s="706"/>
      <c r="W19" s="706"/>
      <c r="X19" s="704" t="s">
        <v>670</v>
      </c>
      <c r="Y19" s="704" t="s">
        <v>671</v>
      </c>
      <c r="Z19" s="704"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7"/>
      <c r="K20" s="707"/>
      <c r="L20" s="707"/>
      <c r="M20" s="707"/>
      <c r="N20" s="707"/>
      <c r="O20" s="707"/>
      <c r="P20" s="707"/>
      <c r="Q20" s="707"/>
      <c r="R20" s="707"/>
      <c r="S20" s="706"/>
      <c r="U20" s="706"/>
      <c r="V20" s="706"/>
      <c r="W20" s="706"/>
      <c r="X20" s="704"/>
      <c r="Y20" s="704"/>
      <c r="Z20" s="704"/>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09" t="str">
        <f>IF($J$17=$A$146,"Encargos Sociais incidentes sobre a mão de obra","Administração Central")</f>
        <v>Administração Central</v>
      </c>
      <c r="K21" s="709"/>
      <c r="L21" s="709"/>
      <c r="M21" s="709"/>
      <c r="N21" s="709"/>
      <c r="O21" s="709"/>
      <c r="P21" s="709"/>
      <c r="Q21" s="709"/>
      <c r="R21" s="60" t="str">
        <f>IF($J17=$A$146,"K1","AC")</f>
        <v>AC</v>
      </c>
      <c r="S21" s="61">
        <v>3.7999999999999999E-2</v>
      </c>
      <c r="T21" s="572" t="str">
        <f ca="1">IF(AND($U$14&lt;&gt;"",$U$17="",R21&lt;&gt;"",S21=""),"◄","")</f>
        <v/>
      </c>
      <c r="U21" s="710" t="str">
        <f ca="1">IFERROR(IF(T21="◄","FALTA PREENCHER",IF(AND(OR(S21&gt;=X21,X21="-"),OR(S21&lt;=Z21,Z21="-")),"OK","FORA DO INTERVALO")),"-")</f>
        <v>OK</v>
      </c>
      <c r="V21" s="710"/>
      <c r="W21" s="710"/>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09" t="str">
        <f>IF($J$17=$A$146,"Administração Central da empresa ou consultoria - overhead","Seguro e Garantia")</f>
        <v>Seguro e Garantia</v>
      </c>
      <c r="K22" s="709"/>
      <c r="L22" s="709"/>
      <c r="M22" s="709"/>
      <c r="N22" s="709"/>
      <c r="O22" s="709"/>
      <c r="P22" s="709"/>
      <c r="Q22" s="709"/>
      <c r="R22" s="60" t="str">
        <f>IF($J17=$A$146,"K2","SG")</f>
        <v>SG</v>
      </c>
      <c r="S22" s="61">
        <v>3.2000000000000002E-3</v>
      </c>
      <c r="T22" s="572" t="str">
        <f t="shared" ref="T22:T26" ca="1" si="1">IF(AND($U$14&lt;&gt;"",$U$17="",R22&lt;&gt;"",S22=""),"◄","")</f>
        <v/>
      </c>
      <c r="U22" s="710" t="str">
        <f t="shared" ref="U22:U28" ca="1" si="2">IFERROR(IF(T22="◄","FALTA PREENCHER",IF(AND(OR(S22&gt;=X22,X22="-"),OR(S22&lt;=Z22,Z22="-")),"OK","FORA DO INTERVALO")),"-")</f>
        <v>OK</v>
      </c>
      <c r="V22" s="710"/>
      <c r="W22" s="710"/>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09" t="s">
        <v>942</v>
      </c>
      <c r="K23" s="709"/>
      <c r="L23" s="709"/>
      <c r="M23" s="709"/>
      <c r="N23" s="709"/>
      <c r="O23" s="709"/>
      <c r="P23" s="709"/>
      <c r="Q23" s="709"/>
      <c r="R23" s="60" t="str">
        <f>IF($J17=$A$146,"","R")</f>
        <v>R</v>
      </c>
      <c r="S23" s="61">
        <v>5.0000000000000001E-3</v>
      </c>
      <c r="T23" s="572" t="str">
        <f t="shared" ca="1" si="1"/>
        <v/>
      </c>
      <c r="U23" s="710" t="str">
        <f t="shared" ca="1" si="2"/>
        <v>OK</v>
      </c>
      <c r="V23" s="710"/>
      <c r="W23" s="710"/>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09" t="s">
        <v>943</v>
      </c>
      <c r="K24" s="709"/>
      <c r="L24" s="709"/>
      <c r="M24" s="709"/>
      <c r="N24" s="709"/>
      <c r="O24" s="709"/>
      <c r="P24" s="709"/>
      <c r="Q24" s="709"/>
      <c r="R24" s="60" t="str">
        <f>IF($J17=$A$146,"","DF")</f>
        <v>DF</v>
      </c>
      <c r="S24" s="61">
        <v>1.0200000000000001E-2</v>
      </c>
      <c r="T24" s="572" t="str">
        <f t="shared" ca="1" si="1"/>
        <v/>
      </c>
      <c r="U24" s="710" t="str">
        <f t="shared" ca="1" si="2"/>
        <v>OK</v>
      </c>
      <c r="V24" s="710"/>
      <c r="W24" s="710"/>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09" t="str">
        <f>IF($J$17=$A$146,"Margem bruta da empresa de consultoria","Lucro")</f>
        <v>Lucro</v>
      </c>
      <c r="K25" s="709"/>
      <c r="L25" s="709"/>
      <c r="M25" s="709"/>
      <c r="N25" s="709"/>
      <c r="O25" s="709"/>
      <c r="P25" s="709"/>
      <c r="Q25" s="709"/>
      <c r="R25" s="60" t="str">
        <f>IF($J17=$A$146,"K3","L")</f>
        <v>L</v>
      </c>
      <c r="S25" s="61">
        <v>6.6400000000000001E-2</v>
      </c>
      <c r="T25" s="572" t="str">
        <f t="shared" ca="1" si="1"/>
        <v/>
      </c>
      <c r="U25" s="710" t="str">
        <f t="shared" ca="1" si="2"/>
        <v>OK</v>
      </c>
      <c r="V25" s="710"/>
      <c r="W25" s="710"/>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09" t="s">
        <v>675</v>
      </c>
      <c r="K26" s="709"/>
      <c r="L26" s="709"/>
      <c r="M26" s="709"/>
      <c r="N26" s="709"/>
      <c r="O26" s="709"/>
      <c r="P26" s="709"/>
      <c r="Q26" s="709"/>
      <c r="R26" s="60" t="s">
        <v>456</v>
      </c>
      <c r="S26" s="61">
        <v>3.6499999999999998E-2</v>
      </c>
      <c r="T26" s="572" t="str">
        <f t="shared" ca="1" si="1"/>
        <v/>
      </c>
      <c r="U26" s="710" t="str">
        <f t="shared" ca="1" si="2"/>
        <v>OK</v>
      </c>
      <c r="V26" s="710"/>
      <c r="W26" s="710"/>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09" t="s">
        <v>676</v>
      </c>
      <c r="K27" s="709"/>
      <c r="L27" s="709"/>
      <c r="M27" s="709"/>
      <c r="N27" s="709"/>
      <c r="O27" s="709"/>
      <c r="P27" s="709"/>
      <c r="Q27" s="709"/>
      <c r="R27" s="60" t="s">
        <v>677</v>
      </c>
      <c r="S27" s="62">
        <f ca="1">IF(AND($J17&lt;&gt;$A$145,COUNTA(OFFSET(S20,1,0,6))&gt;0),$R$11*$R$10,0)</f>
        <v>0.03</v>
      </c>
      <c r="U27" s="710" t="str">
        <f t="shared" ca="1" si="2"/>
        <v>OK</v>
      </c>
      <c r="V27" s="710"/>
      <c r="W27" s="710"/>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09" t="s">
        <v>678</v>
      </c>
      <c r="K28" s="709"/>
      <c r="L28" s="709"/>
      <c r="M28" s="709"/>
      <c r="N28" s="709"/>
      <c r="O28" s="709"/>
      <c r="P28" s="709"/>
      <c r="Q28" s="709"/>
      <c r="R28" s="60" t="s">
        <v>679</v>
      </c>
      <c r="S28" s="62" cm="1">
        <f t="array" aca="1" ref="S28" ca="1">IF(BDI.Opcao&lt;&gt;"Desonerado",0,IF(AND($J17&lt;&gt;$A$145,COUNTA(OFFSET(S20,1,0,6))&gt;0),IF(YEAR(Import.DataBase)&lt;2025,4.5%,IF(YEAR(Import.DataBase)=2025,3.6%,IF(YEAR(Import.DataBase)=2026,2.7%,IF(YEAR(Import.DataBase)=2027,1.8%,0%)))),0%))</f>
        <v>2.7000000000000003E-2</v>
      </c>
      <c r="U28" s="710" t="str">
        <f t="shared" ca="1" si="2"/>
        <v>OK</v>
      </c>
      <c r="V28" s="710"/>
      <c r="W28" s="710"/>
      <c r="X28" s="63">
        <f ca="1">$S28</f>
        <v>2.7000000000000003E-2</v>
      </c>
      <c r="Y28" s="63">
        <f ca="1">$S28</f>
        <v>2.7000000000000003E-2</v>
      </c>
      <c r="Z28" s="63">
        <f ca="1">$S28</f>
        <v>2.7000000000000003E-2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09" t="s">
        <v>680</v>
      </c>
      <c r="K29" s="709"/>
      <c r="L29" s="709"/>
      <c r="M29" s="709"/>
      <c r="N29" s="709"/>
      <c r="O29" s="709"/>
      <c r="P29" s="709"/>
      <c r="Q29" s="709"/>
      <c r="R29" s="64" t="s">
        <v>656</v>
      </c>
      <c r="S29" s="62">
        <f ca="1">IF($J17=$A$145,0,ROUND((((1+S21+S22+S23)*(1+S24)*(1+S25)/(1-(S26+S27)))-1),4))</f>
        <v>0.20730000000000001</v>
      </c>
      <c r="U29" s="706" t="str">
        <f ca="1">IFERROR(IF(AND(OR(S29&gt;=X29,X29="-"),OR(S29&lt;=Z29,Z29="-")),"OK","FORA DO INTERVALO"),IF(S29=0,"OK","Selecione o Tipo de obra"))</f>
        <v>OK</v>
      </c>
      <c r="V29" s="706"/>
      <c r="W29" s="706"/>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3" t="s">
        <v>681</v>
      </c>
      <c r="K30" s="713"/>
      <c r="L30" s="713"/>
      <c r="M30" s="713"/>
      <c r="N30" s="713"/>
      <c r="O30" s="713"/>
      <c r="P30" s="713"/>
      <c r="Q30" s="713"/>
      <c r="R30" s="65" t="s">
        <v>682</v>
      </c>
      <c r="S30" s="66">
        <f ca="1">IF($J17=$A$145,0,ROUND((((1+S21+S22+S23)*(1+S24)*(1+S25)/(1-(S26+S27+S28)))-1),4))</f>
        <v>0.24329999999999999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4" t="str">
        <f ca="1">IF(U29&lt;&gt;"ok","Anexo: Relatório Técnico Circunstanciado justificando a adoção do percentual de cada parcela do BDI.","")</f>
        <v/>
      </c>
      <c r="L32" s="714"/>
      <c r="M32" s="714"/>
      <c r="N32" s="714"/>
      <c r="O32" s="714"/>
      <c r="P32" s="714"/>
      <c r="Q32" s="714"/>
      <c r="R32" s="714"/>
      <c r="S32" s="714"/>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15" t="s">
        <v>683</v>
      </c>
      <c r="K34" s="715"/>
      <c r="L34" s="715"/>
      <c r="M34" s="715"/>
      <c r="N34" s="715"/>
      <c r="O34" s="715"/>
      <c r="P34" s="715"/>
      <c r="Q34" s="715"/>
      <c r="R34" s="715"/>
      <c r="S34" s="715"/>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16" t="s">
        <v>684</v>
      </c>
      <c r="N35" s="722" t="str">
        <f>IF($J17=$A$146,"(1+K1+K2)*(1+K3)","(1+AC + S + R + G)*(1 + DF)*(1+L)")</f>
        <v>(1+AC + S + R + G)*(1 + DF)*(1+L)</v>
      </c>
      <c r="O35" s="722"/>
      <c r="P35" s="722"/>
      <c r="Q35" s="723"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16"/>
      <c r="N36" s="711" t="s">
        <v>686</v>
      </c>
      <c r="O36" s="711"/>
      <c r="P36" s="711"/>
      <c r="Q36" s="723"/>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1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12"/>
      <c r="L38" s="712"/>
      <c r="M38" s="712"/>
      <c r="N38" s="712"/>
      <c r="O38" s="712"/>
      <c r="P38" s="712"/>
      <c r="Q38" s="712"/>
      <c r="R38" s="712"/>
      <c r="S38" s="712"/>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12"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712"/>
      <c r="L40" s="712"/>
      <c r="M40" s="712"/>
      <c r="N40" s="712"/>
      <c r="O40" s="712"/>
      <c r="P40" s="712"/>
      <c r="Q40" s="712"/>
      <c r="R40" s="712"/>
      <c r="S40" s="712"/>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24"/>
      <c r="K43" s="724"/>
      <c r="L43" s="724"/>
      <c r="M43" s="724"/>
      <c r="N43" s="724"/>
      <c r="O43" s="724"/>
      <c r="P43" s="724"/>
      <c r="Q43" s="724"/>
      <c r="R43" s="724"/>
      <c r="S43" s="724"/>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18" t="str">
        <f>Import.Município</f>
        <v>PILAR DO SUL</v>
      </c>
      <c r="K45" s="718"/>
      <c r="L45" s="718"/>
      <c r="M45" s="718"/>
      <c r="P45" s="719">
        <f ca="1">DADOS!$C$25</f>
        <v>46142</v>
      </c>
      <c r="Q45" s="719"/>
      <c r="R45" s="719"/>
      <c r="S45" s="719"/>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20" t="s">
        <v>693</v>
      </c>
      <c r="K46" s="720"/>
      <c r="L46" s="720"/>
      <c r="M46" s="720"/>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21"/>
      <c r="K48" s="721"/>
      <c r="L48" s="721"/>
      <c r="M48" s="721"/>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17" t="s">
        <v>696</v>
      </c>
      <c r="K49" s="717"/>
      <c r="L49" s="717"/>
      <c r="M49" s="717"/>
    </row>
    <row r="50" spans="1:26" ht="14.25" x14ac:dyDescent="0.2">
      <c r="B50" s="58"/>
      <c r="E50" s="54"/>
      <c r="F50" s="54"/>
      <c r="G50" s="54"/>
      <c r="I50" t="s">
        <v>536</v>
      </c>
      <c r="J50" s="77" t="s">
        <v>240</v>
      </c>
      <c r="K50" s="78" t="str">
        <f t="array" ref="K50:K52">Import.RespOrçamento</f>
        <v>EDUARDO OLIVEIRA DOS SANTOS JUNIOR</v>
      </c>
      <c r="L50" s="79"/>
      <c r="M50" s="79"/>
      <c r="N50" s="76"/>
    </row>
    <row r="51" spans="1:26" ht="14.25" x14ac:dyDescent="0.2">
      <c r="A51"/>
      <c r="B51"/>
      <c r="C51"/>
      <c r="D51"/>
      <c r="E51"/>
      <c r="F51"/>
      <c r="G51"/>
      <c r="I51" t="s">
        <v>536</v>
      </c>
      <c r="J51" s="77" t="s">
        <v>243</v>
      </c>
      <c r="K51" s="78" t="str">
        <v>5069244515-SP</v>
      </c>
      <c r="L51" s="79"/>
      <c r="M51" s="79"/>
      <c r="N51" s="76"/>
    </row>
    <row r="52" spans="1:26" ht="14.25" x14ac:dyDescent="0.2">
      <c r="A52"/>
      <c r="B52"/>
      <c r="C52"/>
      <c r="D52"/>
      <c r="E52"/>
      <c r="F52"/>
      <c r="G52"/>
      <c r="I52" t="s">
        <v>536</v>
      </c>
      <c r="J52" s="77" t="s">
        <v>246</v>
      </c>
      <c r="K52" s="78" t="str">
        <v>2620260743929</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708" t="s">
        <v>697</v>
      </c>
      <c r="K54" s="708"/>
      <c r="L54" s="708"/>
      <c r="M54" s="708"/>
      <c r="N54" s="708"/>
      <c r="O54" s="708"/>
      <c r="P54" s="708"/>
      <c r="Q54" s="708"/>
      <c r="R54" s="708"/>
      <c r="S54" s="708"/>
      <c r="U54" s="521" t="str">
        <f>IF(COUNTIF(ORÇAMENTO!$V$15:$V$56,BDI_2.Título)=0,"",IF(OR(Import.BDI.Tipo2="(SELECIONAR)",Import.BDI.Tipo2="",U57&lt;&gt;"",AND($J57&lt;&gt;$A$145,OR(S61="",S62="",AND($J57&lt;&gt;$A$146,OR(S63="",S64="")),S65="",S66=""))),"Falta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79" t="s">
        <v>664</v>
      </c>
      <c r="K56" s="679"/>
      <c r="L56" s="679"/>
      <c r="M56" s="679"/>
      <c r="N56" s="679"/>
      <c r="O56" s="679"/>
      <c r="P56" s="679"/>
      <c r="Q56" s="679"/>
      <c r="R56" s="679"/>
      <c r="S56" s="679"/>
    </row>
    <row r="57" spans="1:26" ht="15" hidden="1" x14ac:dyDescent="0.25">
      <c r="A57"/>
      <c r="B57"/>
      <c r="C57"/>
      <c r="D57"/>
      <c r="E57"/>
      <c r="F57"/>
      <c r="G57"/>
      <c r="I57" t="str">
        <f t="shared" ca="1" si="3"/>
        <v/>
      </c>
      <c r="J57" s="705" t="s">
        <v>139</v>
      </c>
      <c r="K57" s="705"/>
      <c r="L57" s="705"/>
      <c r="M57" s="705"/>
      <c r="N57" s="705"/>
      <c r="O57" s="705"/>
      <c r="P57" s="705"/>
      <c r="Q57" s="705"/>
      <c r="R57" s="705"/>
      <c r="S57" s="705"/>
      <c r="T57" s="563" t="str">
        <f ca="1">IF(U57="","","◄")</f>
        <v/>
      </c>
      <c r="U57" s="562" t="str">
        <f ca="1">IF(AND(OR(S69&gt;0,COUNTIF(ORÇAMENTO!$V$15:$V$56,BDI_2.Título)&gt;0),OR(Import.BDI.Tipo2="(SELECIONAR)",Import.BDI.Tipo2="")),"Selecione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07" t="s">
        <v>666</v>
      </c>
      <c r="K59" s="707"/>
      <c r="L59" s="707"/>
      <c r="M59" s="707"/>
      <c r="N59" s="707"/>
      <c r="O59" s="707"/>
      <c r="P59" s="707"/>
      <c r="Q59" s="707"/>
      <c r="R59" s="707" t="s">
        <v>667</v>
      </c>
      <c r="S59" s="706" t="s">
        <v>668</v>
      </c>
      <c r="U59" s="706" t="s">
        <v>669</v>
      </c>
      <c r="V59" s="706"/>
      <c r="W59" s="706"/>
      <c r="X59" s="704" t="s">
        <v>670</v>
      </c>
      <c r="Y59" s="704" t="s">
        <v>671</v>
      </c>
      <c r="Z59" s="704" t="s">
        <v>672</v>
      </c>
    </row>
    <row r="60" spans="1:26" ht="12.75" hidden="1" customHeight="1" x14ac:dyDescent="0.2">
      <c r="A60"/>
      <c r="B60"/>
      <c r="C60"/>
      <c r="D60"/>
      <c r="E60"/>
      <c r="F60"/>
      <c r="G60"/>
      <c r="I60" t="str">
        <f t="shared" ca="1" si="3"/>
        <v/>
      </c>
      <c r="J60" s="707"/>
      <c r="K60" s="707"/>
      <c r="L60" s="707"/>
      <c r="M60" s="707"/>
      <c r="N60" s="707"/>
      <c r="O60" s="707"/>
      <c r="P60" s="707"/>
      <c r="Q60" s="707"/>
      <c r="R60" s="707"/>
      <c r="S60" s="706"/>
      <c r="U60" s="706"/>
      <c r="V60" s="706"/>
      <c r="W60" s="706"/>
      <c r="X60" s="704"/>
      <c r="Y60" s="704"/>
      <c r="Z60" s="704"/>
    </row>
    <row r="61" spans="1:26" ht="15" hidden="1" customHeight="1" x14ac:dyDescent="0.2">
      <c r="A61"/>
      <c r="B61"/>
      <c r="C61"/>
      <c r="D61"/>
      <c r="E61"/>
      <c r="F61"/>
      <c r="G61"/>
      <c r="I61" t="str">
        <f t="shared" ca="1" si="3"/>
        <v/>
      </c>
      <c r="J61" s="709" t="str">
        <f>IF($J$57=$A$146,"Encargos Sociais incidentes sobre a mão de obra","Administração Central")</f>
        <v>Administração Central</v>
      </c>
      <c r="K61" s="709"/>
      <c r="L61" s="709"/>
      <c r="M61" s="709"/>
      <c r="N61" s="709"/>
      <c r="O61" s="709"/>
      <c r="P61" s="709"/>
      <c r="Q61" s="709"/>
      <c r="R61" s="60" t="str">
        <f>IF($J57=$A$146,"K1","AC")</f>
        <v>AC</v>
      </c>
      <c r="S61" s="61"/>
      <c r="T61" s="572" t="str">
        <f ca="1">IF(AND($U$54&lt;&gt;"",$U$57="",R61&lt;&gt;"",S61=""),"◄","")</f>
        <v/>
      </c>
      <c r="U61" s="710" t="str">
        <f ca="1">IFERROR(IF(T61="◄","FALTA PREENCHER",IF(AND(OR(S61&gt;=X61,X61="-"),OR(S61&lt;=Z61,Z61="-")),"OK","FORA DO INTERVALO")),"-")</f>
        <v>-</v>
      </c>
      <c r="V61" s="710"/>
      <c r="W61" s="710"/>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709" t="str">
        <f>IF($J$57=$A$146,"Administração Central da empresa ou consultoria - overhead","Seguro e Garantia")</f>
        <v>Seguro e Garantia</v>
      </c>
      <c r="K62" s="709"/>
      <c r="L62" s="709"/>
      <c r="M62" s="709"/>
      <c r="N62" s="709"/>
      <c r="O62" s="709"/>
      <c r="P62" s="709"/>
      <c r="Q62" s="709"/>
      <c r="R62" s="60" t="str">
        <f>IF($J57=$A$146,"K2","SG")</f>
        <v>SG</v>
      </c>
      <c r="S62" s="61"/>
      <c r="T62" s="572" t="str">
        <f t="shared" ref="T62:T66" ca="1" si="4">IF(AND($U$54&lt;&gt;"",$U$57="",R62&lt;&gt;"",S62=""),"◄","")</f>
        <v/>
      </c>
      <c r="U62" s="710" t="str">
        <f t="shared" ref="U62:U68" ca="1" si="5">IFERROR(IF(T62="◄","FALTA PREENCHER",IF(AND(OR(S62&gt;=X62,X62="-"),OR(S62&lt;=Z62,Z62="-")),"OK","FORA DO INTERVALO")),"-")</f>
        <v>-</v>
      </c>
      <c r="V62" s="710"/>
      <c r="W62" s="710"/>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709" t="s">
        <v>942</v>
      </c>
      <c r="K63" s="709"/>
      <c r="L63" s="709"/>
      <c r="M63" s="709"/>
      <c r="N63" s="709"/>
      <c r="O63" s="709"/>
      <c r="P63" s="709"/>
      <c r="Q63" s="709"/>
      <c r="R63" s="60" t="str">
        <f>IF($J57=$A$146,"","R")</f>
        <v>R</v>
      </c>
      <c r="S63" s="61"/>
      <c r="T63" s="572" t="str">
        <f t="shared" ca="1" si="4"/>
        <v/>
      </c>
      <c r="U63" s="710" t="str">
        <f t="shared" ca="1" si="5"/>
        <v>-</v>
      </c>
      <c r="V63" s="710"/>
      <c r="W63" s="710"/>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709" t="s">
        <v>943</v>
      </c>
      <c r="K64" s="709"/>
      <c r="L64" s="709"/>
      <c r="M64" s="709"/>
      <c r="N64" s="709"/>
      <c r="O64" s="709"/>
      <c r="P64" s="709"/>
      <c r="Q64" s="709"/>
      <c r="R64" s="60" t="str">
        <f>IF($J57=$A$146,"","DF")</f>
        <v>DF</v>
      </c>
      <c r="S64" s="61"/>
      <c r="T64" s="572" t="str">
        <f t="shared" ca="1" si="4"/>
        <v/>
      </c>
      <c r="U64" s="710" t="str">
        <f t="shared" ca="1" si="5"/>
        <v>-</v>
      </c>
      <c r="V64" s="710"/>
      <c r="W64" s="710"/>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709" t="str">
        <f>IF($J$57=$A$146,"Margem bruta da empresa de consultoria","Lucro")</f>
        <v>Lucro</v>
      </c>
      <c r="K65" s="709"/>
      <c r="L65" s="709"/>
      <c r="M65" s="709"/>
      <c r="N65" s="709"/>
      <c r="O65" s="709"/>
      <c r="P65" s="709"/>
      <c r="Q65" s="709"/>
      <c r="R65" s="60" t="str">
        <f>IF($J57=$A$146,"K3","L")</f>
        <v>L</v>
      </c>
      <c r="S65" s="61"/>
      <c r="T65" s="572" t="str">
        <f t="shared" ca="1" si="4"/>
        <v/>
      </c>
      <c r="U65" s="710" t="str">
        <f t="shared" ca="1" si="5"/>
        <v>-</v>
      </c>
      <c r="V65" s="710"/>
      <c r="W65" s="710"/>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709" t="s">
        <v>675</v>
      </c>
      <c r="K66" s="709"/>
      <c r="L66" s="709"/>
      <c r="M66" s="709"/>
      <c r="N66" s="709"/>
      <c r="O66" s="709"/>
      <c r="P66" s="709"/>
      <c r="Q66" s="709"/>
      <c r="R66" s="60" t="s">
        <v>456</v>
      </c>
      <c r="S66" s="61"/>
      <c r="T66" s="572" t="str">
        <f t="shared" ca="1" si="4"/>
        <v/>
      </c>
      <c r="U66" s="710" t="str">
        <f t="shared" ca="1" si="5"/>
        <v>FORA DO INTERVALO</v>
      </c>
      <c r="V66" s="710"/>
      <c r="W66" s="710"/>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709" t="s">
        <v>676</v>
      </c>
      <c r="K67" s="709"/>
      <c r="L67" s="709"/>
      <c r="M67" s="709"/>
      <c r="N67" s="709"/>
      <c r="O67" s="709"/>
      <c r="P67" s="709"/>
      <c r="Q67" s="709"/>
      <c r="R67" s="60" t="s">
        <v>677</v>
      </c>
      <c r="S67" s="62">
        <f ca="1">IF(AND($J57&lt;&gt;$A$145,COUNTA(OFFSET(S60,1,0,6))&gt;0),$R$11*$R$10,0)</f>
        <v>0</v>
      </c>
      <c r="U67" s="710" t="str">
        <f t="shared" ca="1" si="5"/>
        <v>OK</v>
      </c>
      <c r="V67" s="710"/>
      <c r="W67" s="710"/>
      <c r="X67" s="62">
        <v>0</v>
      </c>
      <c r="Y67" s="62">
        <v>2.5000000000000001E-2</v>
      </c>
      <c r="Z67" s="62">
        <v>0.05</v>
      </c>
    </row>
    <row r="68" spans="1:26" ht="15" hidden="1" customHeight="1" x14ac:dyDescent="0.2">
      <c r="A68"/>
      <c r="B68"/>
      <c r="C68"/>
      <c r="D68"/>
      <c r="E68"/>
      <c r="F68"/>
      <c r="G68"/>
      <c r="I68" t="str">
        <f t="shared" ca="1" si="3"/>
        <v/>
      </c>
      <c r="J68" s="709" t="s">
        <v>678</v>
      </c>
      <c r="K68" s="709"/>
      <c r="L68" s="709"/>
      <c r="M68" s="709"/>
      <c r="N68" s="709"/>
      <c r="O68" s="709"/>
      <c r="P68" s="709"/>
      <c r="Q68" s="709"/>
      <c r="R68" s="60" t="s">
        <v>679</v>
      </c>
      <c r="S68" s="62" cm="1">
        <f t="array" aca="1" ref="S68" ca="1">IF(BDI.Opcao&lt;&gt;"Desonerado",0,IF(AND($J57&lt;&gt;$A$145,COUNTA(OFFSET(S60,1,0,6))&gt;0),IF(YEAR(Import.DataBase)&lt;2025,4.5%,IF(YEAR(Import.DataBase)=2025,3.6%,IF(YEAR(Import.DataBase)=2026,2.7%,IF(YEAR(Import.DataBase)=2027,1.8%,0%)))),0%))</f>
        <v>0</v>
      </c>
      <c r="U68" s="710" t="str">
        <f t="shared" ca="1" si="5"/>
        <v>OK</v>
      </c>
      <c r="V68" s="710"/>
      <c r="W68" s="710"/>
      <c r="X68" s="63">
        <f ca="1">$S68</f>
        <v>0</v>
      </c>
      <c r="Y68" s="63">
        <f ca="1">$S68</f>
        <v>0</v>
      </c>
      <c r="Z68" s="63">
        <f ca="1">$S68</f>
        <v>0</v>
      </c>
    </row>
    <row r="69" spans="1:26" ht="15" hidden="1" customHeight="1" x14ac:dyDescent="0.2">
      <c r="A69"/>
      <c r="B69"/>
      <c r="C69"/>
      <c r="D69"/>
      <c r="E69"/>
      <c r="F69"/>
      <c r="G69"/>
      <c r="I69" t="str">
        <f t="shared" ca="1" si="3"/>
        <v/>
      </c>
      <c r="J69" s="709" t="s">
        <v>680</v>
      </c>
      <c r="K69" s="709"/>
      <c r="L69" s="709"/>
      <c r="M69" s="709"/>
      <c r="N69" s="709"/>
      <c r="O69" s="709"/>
      <c r="P69" s="709"/>
      <c r="Q69" s="709"/>
      <c r="R69" s="64" t="s">
        <v>656</v>
      </c>
      <c r="S69" s="62">
        <f ca="1">IF($J57=$A$145,0,ROUND((((1+S61+S62+S63)*(1+S64)*(1+S65)/(1-(S66+S67)))-1),4))</f>
        <v>0</v>
      </c>
      <c r="U69" s="706" t="str">
        <f ca="1">IFERROR(IF(AND(OR(S69&gt;=X69,X69="-"),OR(S69&lt;=Z69,Z69="-")),"OK","FORA DO INTERVALO"),IF(S69=0,"OK","Selecione o Tipo de obra"))</f>
        <v>OK</v>
      </c>
      <c r="V69" s="706"/>
      <c r="W69" s="706"/>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713" t="s">
        <v>681</v>
      </c>
      <c r="K70" s="713"/>
      <c r="L70" s="713"/>
      <c r="M70" s="713"/>
      <c r="N70" s="713"/>
      <c r="O70" s="713"/>
      <c r="P70" s="713"/>
      <c r="Q70" s="713"/>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714" t="str">
        <f ca="1">IF(U69&lt;&gt;"ok","Anexo: Relatório Técnico Circunstanciado justificando a adoção do percentual de cada parcela do BDI.","")</f>
        <v/>
      </c>
      <c r="L72" s="714"/>
      <c r="M72" s="714"/>
      <c r="N72" s="714"/>
      <c r="O72" s="714"/>
      <c r="P72" s="714"/>
      <c r="Q72" s="714"/>
      <c r="R72" s="714"/>
      <c r="S72" s="714"/>
    </row>
    <row r="73" spans="1:26" hidden="1" x14ac:dyDescent="0.2">
      <c r="A73"/>
      <c r="B73"/>
      <c r="C73"/>
      <c r="D73"/>
      <c r="E73"/>
      <c r="F73"/>
      <c r="G73"/>
      <c r="I73" t="str">
        <f t="shared" ca="1" si="3"/>
        <v/>
      </c>
    </row>
    <row r="74" spans="1:26" hidden="1" x14ac:dyDescent="0.2">
      <c r="A74"/>
      <c r="B74"/>
      <c r="C74"/>
      <c r="D74"/>
      <c r="E74"/>
      <c r="F74"/>
      <c r="G74"/>
      <c r="I74" t="str">
        <f t="shared" ca="1" si="3"/>
        <v/>
      </c>
      <c r="J74" s="715" t="s">
        <v>683</v>
      </c>
      <c r="K74" s="715"/>
      <c r="L74" s="715"/>
      <c r="M74" s="715"/>
      <c r="N74" s="715"/>
      <c r="O74" s="715"/>
      <c r="P74" s="715"/>
      <c r="Q74" s="715"/>
      <c r="R74" s="715"/>
      <c r="S74" s="715"/>
    </row>
    <row r="75" spans="1:26" ht="15.75" hidden="1" x14ac:dyDescent="0.25">
      <c r="A75"/>
      <c r="B75"/>
      <c r="C75"/>
      <c r="D75"/>
      <c r="E75"/>
      <c r="F75"/>
      <c r="G75"/>
      <c r="I75" t="str">
        <f t="shared" ca="1" si="3"/>
        <v/>
      </c>
      <c r="J75" s="68"/>
      <c r="K75" s="68"/>
      <c r="L75" s="68"/>
      <c r="M75" s="716" t="s">
        <v>684</v>
      </c>
      <c r="N75" s="722" t="str">
        <f>IF($J57=$A$146,"(1+K1+K2)*(1+K3)","(1+AC + S + R + G)*(1 + DF)*(1+L)")</f>
        <v>(1+AC + S + R + G)*(1 + DF)*(1+L)</v>
      </c>
      <c r="O75" s="722"/>
      <c r="P75" s="722"/>
      <c r="Q75" s="723" t="s">
        <v>685</v>
      </c>
      <c r="R75" s="68"/>
      <c r="S75" s="68"/>
    </row>
    <row r="76" spans="1:26" ht="15.75" hidden="1" x14ac:dyDescent="0.2">
      <c r="A76"/>
      <c r="B76"/>
      <c r="C76"/>
      <c r="D76"/>
      <c r="E76"/>
      <c r="F76"/>
      <c r="G76"/>
      <c r="I76" t="str">
        <f t="shared" ca="1" si="3"/>
        <v/>
      </c>
      <c r="J76" s="68"/>
      <c r="K76" s="68"/>
      <c r="L76" s="68"/>
      <c r="M76" s="716"/>
      <c r="N76" s="711" t="s">
        <v>686</v>
      </c>
      <c r="O76" s="711"/>
      <c r="P76" s="711"/>
      <c r="Q76" s="723"/>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71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12"/>
      <c r="L78" s="712"/>
      <c r="M78" s="712"/>
      <c r="N78" s="712"/>
      <c r="O78" s="712"/>
      <c r="P78" s="712"/>
      <c r="Q78" s="712"/>
      <c r="R78" s="712"/>
      <c r="S78" s="712"/>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712"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712"/>
      <c r="L80" s="712"/>
      <c r="M80" s="712"/>
      <c r="N80" s="712"/>
      <c r="O80" s="712"/>
      <c r="P80" s="712"/>
      <c r="Q80" s="712"/>
      <c r="R80" s="712"/>
      <c r="S80" s="712"/>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724"/>
      <c r="K83" s="724"/>
      <c r="L83" s="724"/>
      <c r="M83" s="724"/>
      <c r="N83" s="724"/>
      <c r="O83" s="724"/>
      <c r="P83" s="724"/>
      <c r="Q83" s="724"/>
      <c r="R83" s="724"/>
      <c r="S83" s="724"/>
    </row>
    <row r="84" spans="1:21" hidden="1" x14ac:dyDescent="0.2">
      <c r="A84"/>
      <c r="B84"/>
      <c r="C84"/>
      <c r="D84"/>
      <c r="E84"/>
      <c r="F84"/>
      <c r="G84"/>
      <c r="I84" t="str">
        <f t="shared" ca="1" si="3"/>
        <v/>
      </c>
    </row>
    <row r="85" spans="1:21" hidden="1" x14ac:dyDescent="0.2">
      <c r="A85"/>
      <c r="B85"/>
      <c r="C85"/>
      <c r="D85"/>
      <c r="E85"/>
      <c r="F85"/>
      <c r="G85"/>
      <c r="I85" t="str">
        <f t="shared" ca="1" si="3"/>
        <v/>
      </c>
      <c r="J85" s="718" t="str">
        <f>Import.Município</f>
        <v>PILAR DO SUL</v>
      </c>
      <c r="K85" s="718"/>
      <c r="L85" s="718"/>
      <c r="M85" s="718"/>
      <c r="P85" s="719">
        <f ca="1">DADOS!$C$25</f>
        <v>46142</v>
      </c>
      <c r="Q85" s="719"/>
      <c r="R85" s="719"/>
      <c r="S85" s="719"/>
    </row>
    <row r="86" spans="1:21" hidden="1" x14ac:dyDescent="0.2">
      <c r="A86"/>
      <c r="B86"/>
      <c r="C86"/>
      <c r="D86"/>
      <c r="E86"/>
      <c r="F86"/>
      <c r="G86"/>
      <c r="I86" t="str">
        <f t="shared" ca="1" si="3"/>
        <v/>
      </c>
      <c r="J86" s="720" t="s">
        <v>693</v>
      </c>
      <c r="K86" s="720"/>
      <c r="L86" s="720"/>
      <c r="M86" s="720"/>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21"/>
      <c r="K88" s="721"/>
      <c r="L88" s="721"/>
      <c r="M88" s="721"/>
      <c r="N88" s="76"/>
    </row>
    <row r="89" spans="1:21" hidden="1" x14ac:dyDescent="0.2">
      <c r="A89"/>
      <c r="B89"/>
      <c r="C89"/>
      <c r="D89"/>
      <c r="E89"/>
      <c r="F89"/>
      <c r="G89"/>
      <c r="I89" t="str">
        <f t="shared" ca="1" si="3"/>
        <v/>
      </c>
      <c r="J89" s="717" t="s">
        <v>696</v>
      </c>
      <c r="K89" s="717"/>
      <c r="L89" s="717"/>
      <c r="M89" s="717"/>
    </row>
    <row r="90" spans="1:21" ht="14.25" hidden="1" x14ac:dyDescent="0.2">
      <c r="A90"/>
      <c r="B90"/>
      <c r="C90"/>
      <c r="D90"/>
      <c r="E90"/>
      <c r="F90"/>
      <c r="G90"/>
      <c r="I90" t="str">
        <f t="shared" ca="1" si="3"/>
        <v/>
      </c>
      <c r="J90" s="77" t="s">
        <v>240</v>
      </c>
      <c r="K90" s="78" t="str">
        <f t="array" ref="K90:K92">Import.RespOrçamento</f>
        <v>EDUARDO OLIVEIRA DOS SANTOS JUNIOR</v>
      </c>
      <c r="L90" s="79"/>
      <c r="M90" s="79"/>
      <c r="N90" s="76"/>
    </row>
    <row r="91" spans="1:21" ht="14.25" hidden="1" x14ac:dyDescent="0.2">
      <c r="A91"/>
      <c r="B91"/>
      <c r="C91"/>
      <c r="D91"/>
      <c r="E91"/>
      <c r="F91"/>
      <c r="G91"/>
      <c r="I91" t="str">
        <f t="shared" ca="1" si="3"/>
        <v/>
      </c>
      <c r="J91" s="77" t="s">
        <v>243</v>
      </c>
      <c r="K91" s="78" t="str">
        <v>5069244515-SP</v>
      </c>
      <c r="L91" s="79"/>
      <c r="M91" s="79"/>
      <c r="N91" s="76"/>
    </row>
    <row r="92" spans="1:21" ht="14.25" hidden="1" x14ac:dyDescent="0.2">
      <c r="A92"/>
      <c r="B92"/>
      <c r="C92"/>
      <c r="D92"/>
      <c r="E92"/>
      <c r="F92"/>
      <c r="G92"/>
      <c r="I92" t="str">
        <f t="shared" ca="1" si="3"/>
        <v/>
      </c>
      <c r="J92" s="77" t="s">
        <v>246</v>
      </c>
      <c r="K92" s="78" t="str">
        <v>2620260743929</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708" t="s">
        <v>698</v>
      </c>
      <c r="K94" s="708"/>
      <c r="L94" s="708"/>
      <c r="M94" s="708"/>
      <c r="N94" s="708"/>
      <c r="O94" s="708"/>
      <c r="P94" s="708"/>
      <c r="Q94" s="708"/>
      <c r="R94" s="708"/>
      <c r="S94" s="708"/>
      <c r="U94" s="521" t="str">
        <f>IF(COUNTIF(ORÇAMENTO!$V$15:$V$56,BDI_3.Título)=0,"",IF(OR(Import.BDI.Tipo3="(SELECIONAR)",Import.BDI.Tipo3="",U97&lt;&gt;"",AND($J97&lt;&gt;$A$145,OR(S101="",S102="",AND($J97&lt;&gt;$A$146,OR(S103="",S104="")),S105="",S106=""))),"Falta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79" t="s">
        <v>664</v>
      </c>
      <c r="K96" s="679"/>
      <c r="L96" s="679"/>
      <c r="M96" s="679"/>
      <c r="N96" s="679"/>
      <c r="O96" s="679"/>
      <c r="P96" s="679"/>
      <c r="Q96" s="679"/>
      <c r="R96" s="679"/>
      <c r="S96" s="679"/>
    </row>
    <row r="97" spans="1:26" ht="15" hidden="1" x14ac:dyDescent="0.25">
      <c r="A97"/>
      <c r="B97"/>
      <c r="C97"/>
      <c r="D97"/>
      <c r="E97"/>
      <c r="F97"/>
      <c r="G97"/>
      <c r="I97" t="str">
        <f t="shared" ca="1" si="6"/>
        <v/>
      </c>
      <c r="J97" s="705" t="s">
        <v>139</v>
      </c>
      <c r="K97" s="705"/>
      <c r="L97" s="705"/>
      <c r="M97" s="705"/>
      <c r="N97" s="705"/>
      <c r="O97" s="705"/>
      <c r="P97" s="705"/>
      <c r="Q97" s="705"/>
      <c r="R97" s="705"/>
      <c r="S97" s="705"/>
      <c r="T97" s="563" t="str">
        <f ca="1">IF(U97="","","◄")</f>
        <v/>
      </c>
      <c r="U97" s="562" t="str">
        <f ca="1">IF(AND(OR(S109&gt;0,COUNTIF(ORÇAMENTO!$V$15:$V$56,BDI_3.Título)&gt;0),OR(Import.BDI.Tipo3="(SELECIONAR)",Import.BDI.Tipo3="")),"Selecione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07" t="s">
        <v>666</v>
      </c>
      <c r="K99" s="707"/>
      <c r="L99" s="707"/>
      <c r="M99" s="707"/>
      <c r="N99" s="707"/>
      <c r="O99" s="707"/>
      <c r="P99" s="707"/>
      <c r="Q99" s="707"/>
      <c r="R99" s="707" t="s">
        <v>667</v>
      </c>
      <c r="S99" s="706" t="s">
        <v>668</v>
      </c>
      <c r="U99" s="706" t="s">
        <v>669</v>
      </c>
      <c r="V99" s="706"/>
      <c r="W99" s="706"/>
      <c r="X99" s="704" t="s">
        <v>670</v>
      </c>
      <c r="Y99" s="704" t="s">
        <v>671</v>
      </c>
      <c r="Z99" s="704" t="s">
        <v>672</v>
      </c>
    </row>
    <row r="100" spans="1:26" ht="12.75" hidden="1" customHeight="1" x14ac:dyDescent="0.2">
      <c r="A100"/>
      <c r="B100"/>
      <c r="C100"/>
      <c r="D100"/>
      <c r="E100"/>
      <c r="F100"/>
      <c r="G100"/>
      <c r="I100" t="str">
        <f t="shared" ca="1" si="6"/>
        <v/>
      </c>
      <c r="J100" s="707"/>
      <c r="K100" s="707"/>
      <c r="L100" s="707"/>
      <c r="M100" s="707"/>
      <c r="N100" s="707"/>
      <c r="O100" s="707"/>
      <c r="P100" s="707"/>
      <c r="Q100" s="707"/>
      <c r="R100" s="707"/>
      <c r="S100" s="706"/>
      <c r="U100" s="706"/>
      <c r="V100" s="706"/>
      <c r="W100" s="706"/>
      <c r="X100" s="704"/>
      <c r="Y100" s="704"/>
      <c r="Z100" s="704"/>
    </row>
    <row r="101" spans="1:26" ht="15" hidden="1" customHeight="1" x14ac:dyDescent="0.2">
      <c r="A101"/>
      <c r="B101"/>
      <c r="C101"/>
      <c r="D101"/>
      <c r="E101"/>
      <c r="F101"/>
      <c r="G101"/>
      <c r="I101" t="str">
        <f t="shared" ca="1" si="6"/>
        <v/>
      </c>
      <c r="J101" s="709" t="str">
        <f>IF($J$97=$A$146,"Encargos Sociais incidentes sobre a mão de obra","Administração Central")</f>
        <v>Administração Central</v>
      </c>
      <c r="K101" s="709"/>
      <c r="L101" s="709"/>
      <c r="M101" s="709"/>
      <c r="N101" s="709"/>
      <c r="O101" s="709"/>
      <c r="P101" s="709"/>
      <c r="Q101" s="709"/>
      <c r="R101" s="60" t="str">
        <f>IF($J97=$A$146,"K1","AC")</f>
        <v>AC</v>
      </c>
      <c r="S101" s="61"/>
      <c r="T101" s="572" t="str">
        <f ca="1">IF(AND($U$94&lt;&gt;"",$U$97="",R101&lt;&gt;"",S101=""),"◄","")</f>
        <v/>
      </c>
      <c r="U101" s="710" t="str">
        <f ca="1">IFERROR(IF(T101="◄","FALTA PREENCHER",IF(AND(OR(S101&gt;=X101,X101="-"),OR(S101&lt;=Z101,Z101="-")),"OK","FORA DO INTERVALO")),"-")</f>
        <v>-</v>
      </c>
      <c r="V101" s="710"/>
      <c r="W101" s="710"/>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09" t="str">
        <f>IF($J$97=$A$146,"Administração Central da empresa ou consultoria - overhead","Seguro e Garantia")</f>
        <v>Seguro e Garantia</v>
      </c>
      <c r="K102" s="709"/>
      <c r="L102" s="709"/>
      <c r="M102" s="709"/>
      <c r="N102" s="709"/>
      <c r="O102" s="709"/>
      <c r="P102" s="709"/>
      <c r="Q102" s="709"/>
      <c r="R102" s="60" t="str">
        <f>IF($J97=$A$146,"K2","SG")</f>
        <v>SG</v>
      </c>
      <c r="S102" s="61"/>
      <c r="T102" s="572" t="str">
        <f t="shared" ref="T102:T106" ca="1" si="7">IF(AND($U$94&lt;&gt;"",$U$97="",R102&lt;&gt;"",S102=""),"◄","")</f>
        <v/>
      </c>
      <c r="U102" s="710" t="str">
        <f t="shared" ref="U102:U108" ca="1" si="8">IFERROR(IF(T102="◄","FALTA PREENCHER",IF(AND(OR(S102&gt;=X102,X102="-"),OR(S102&lt;=Z102,Z102="-")),"OK","FORA DO INTERVALO")),"-")</f>
        <v>-</v>
      </c>
      <c r="V102" s="710"/>
      <c r="W102" s="710"/>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09" t="s">
        <v>942</v>
      </c>
      <c r="K103" s="709"/>
      <c r="L103" s="709"/>
      <c r="M103" s="709"/>
      <c r="N103" s="709"/>
      <c r="O103" s="709"/>
      <c r="P103" s="709"/>
      <c r="Q103" s="709"/>
      <c r="R103" s="60" t="str">
        <f>IF($J97=$A$146,"","R")</f>
        <v>R</v>
      </c>
      <c r="S103" s="61"/>
      <c r="T103" s="572" t="str">
        <f t="shared" ca="1" si="7"/>
        <v/>
      </c>
      <c r="U103" s="710" t="str">
        <f t="shared" ca="1" si="8"/>
        <v>-</v>
      </c>
      <c r="V103" s="710"/>
      <c r="W103" s="710"/>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09" t="s">
        <v>943</v>
      </c>
      <c r="K104" s="709"/>
      <c r="L104" s="709"/>
      <c r="M104" s="709"/>
      <c r="N104" s="709"/>
      <c r="O104" s="709"/>
      <c r="P104" s="709"/>
      <c r="Q104" s="709"/>
      <c r="R104" s="60" t="str">
        <f>IF($J97=$A$146,"","DF")</f>
        <v>DF</v>
      </c>
      <c r="S104" s="61"/>
      <c r="T104" s="572" t="str">
        <f t="shared" ca="1" si="7"/>
        <v/>
      </c>
      <c r="U104" s="710" t="str">
        <f t="shared" ca="1" si="8"/>
        <v>-</v>
      </c>
      <c r="V104" s="710"/>
      <c r="W104" s="710"/>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09" t="str">
        <f>IF($J$57=$A$146,"Margem bruta da empresa de consultoria","Lucro")</f>
        <v>Lucro</v>
      </c>
      <c r="K105" s="709"/>
      <c r="L105" s="709"/>
      <c r="M105" s="709"/>
      <c r="N105" s="709"/>
      <c r="O105" s="709"/>
      <c r="P105" s="709"/>
      <c r="Q105" s="709"/>
      <c r="R105" s="60" t="str">
        <f>IF($J97=$A$146,"K3","L")</f>
        <v>L</v>
      </c>
      <c r="S105" s="61"/>
      <c r="T105" s="572" t="str">
        <f t="shared" ca="1" si="7"/>
        <v/>
      </c>
      <c r="U105" s="710" t="str">
        <f t="shared" ca="1" si="8"/>
        <v>-</v>
      </c>
      <c r="V105" s="710"/>
      <c r="W105" s="710"/>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09" t="s">
        <v>675</v>
      </c>
      <c r="K106" s="709"/>
      <c r="L106" s="709"/>
      <c r="M106" s="709"/>
      <c r="N106" s="709"/>
      <c r="O106" s="709"/>
      <c r="P106" s="709"/>
      <c r="Q106" s="709"/>
      <c r="R106" s="60" t="s">
        <v>456</v>
      </c>
      <c r="S106" s="61"/>
      <c r="T106" s="572" t="str">
        <f t="shared" ca="1" si="7"/>
        <v/>
      </c>
      <c r="U106" s="710" t="str">
        <f t="shared" ca="1" si="8"/>
        <v>FORA DO INTERVALO</v>
      </c>
      <c r="V106" s="710"/>
      <c r="W106" s="710"/>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09" t="s">
        <v>676</v>
      </c>
      <c r="K107" s="709"/>
      <c r="L107" s="709"/>
      <c r="M107" s="709"/>
      <c r="N107" s="709"/>
      <c r="O107" s="709"/>
      <c r="P107" s="709"/>
      <c r="Q107" s="709"/>
      <c r="R107" s="60" t="s">
        <v>677</v>
      </c>
      <c r="S107" s="62">
        <f ca="1">IF(AND($J97&lt;&gt;$A$145,COUNTA(OFFSET(S100,1,0,6))&gt;0),$R$11*$R$10,0)</f>
        <v>0</v>
      </c>
      <c r="U107" s="710" t="str">
        <f t="shared" ca="1" si="8"/>
        <v>OK</v>
      </c>
      <c r="V107" s="710"/>
      <c r="W107" s="710"/>
      <c r="X107" s="62">
        <v>0</v>
      </c>
      <c r="Y107" s="62">
        <v>2.5000000000000001E-2</v>
      </c>
      <c r="Z107" s="62">
        <v>0.05</v>
      </c>
    </row>
    <row r="108" spans="1:26" ht="15" hidden="1" customHeight="1" x14ac:dyDescent="0.2">
      <c r="A108"/>
      <c r="B108"/>
      <c r="C108"/>
      <c r="D108"/>
      <c r="E108"/>
      <c r="F108"/>
      <c r="G108"/>
      <c r="I108" t="str">
        <f t="shared" ca="1" si="6"/>
        <v/>
      </c>
      <c r="J108" s="709" t="s">
        <v>678</v>
      </c>
      <c r="K108" s="709"/>
      <c r="L108" s="709"/>
      <c r="M108" s="709"/>
      <c r="N108" s="709"/>
      <c r="O108" s="709"/>
      <c r="P108" s="709"/>
      <c r="Q108" s="709"/>
      <c r="R108" s="60" t="s">
        <v>679</v>
      </c>
      <c r="S108" s="62" cm="1">
        <f t="array" aca="1" ref="S108" ca="1">IF(BDI.Opcao&lt;&gt;"Desonerado",0,IF(AND($J97&lt;&gt;$A$145,COUNTA(OFFSET(S100,1,0,6))&gt;0),IF(YEAR(Import.DataBase)&lt;2025,4.5%,IF(YEAR(Import.DataBase)=2025,3.6%,IF(YEAR(Import.DataBase)=2026,2.7%,IF(YEAR(Import.DataBase)=2027,1.8%,0%)))),0%))</f>
        <v>0</v>
      </c>
      <c r="U108" s="710" t="str">
        <f t="shared" ca="1" si="8"/>
        <v>OK</v>
      </c>
      <c r="V108" s="710"/>
      <c r="W108" s="710"/>
      <c r="X108" s="63">
        <f ca="1">$S108</f>
        <v>0</v>
      </c>
      <c r="Y108" s="63">
        <f ca="1">$S108</f>
        <v>0</v>
      </c>
      <c r="Z108" s="63">
        <f ca="1">$S108</f>
        <v>0</v>
      </c>
    </row>
    <row r="109" spans="1:26" ht="15" hidden="1" customHeight="1" x14ac:dyDescent="0.2">
      <c r="A109"/>
      <c r="B109"/>
      <c r="C109"/>
      <c r="D109"/>
      <c r="E109"/>
      <c r="F109"/>
      <c r="G109"/>
      <c r="I109" t="str">
        <f t="shared" ca="1" si="6"/>
        <v/>
      </c>
      <c r="J109" s="709" t="s">
        <v>680</v>
      </c>
      <c r="K109" s="709"/>
      <c r="L109" s="709"/>
      <c r="M109" s="709"/>
      <c r="N109" s="709"/>
      <c r="O109" s="709"/>
      <c r="P109" s="709"/>
      <c r="Q109" s="709"/>
      <c r="R109" s="64" t="s">
        <v>656</v>
      </c>
      <c r="S109" s="62">
        <f ca="1">IF($J97=$A$145,0,ROUND((((1+S101+S102+S103)*(1+S104)*(1+S105)/(1-(S106+S107)))-1),4))</f>
        <v>0</v>
      </c>
      <c r="U109" s="706" t="str">
        <f ca="1">IFERROR(IF(AND(OR(S109&gt;=X109,X109="-"),OR(S109&lt;=Z109,Z109="-")),"OK","FORA DO INTERVALO"),IF(S109=0,"OK","Selecione o Tipo de obra"))</f>
        <v>OK</v>
      </c>
      <c r="V109" s="706"/>
      <c r="W109" s="706"/>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13" t="s">
        <v>681</v>
      </c>
      <c r="K110" s="713"/>
      <c r="L110" s="713"/>
      <c r="M110" s="713"/>
      <c r="N110" s="713"/>
      <c r="O110" s="713"/>
      <c r="P110" s="713"/>
      <c r="Q110" s="713"/>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14" t="str">
        <f ca="1">IF(U109&lt;&gt;"ok","Anexo: Relatório Técnico Circunstanciado justificando a adoção do percentual de cada parcela do BDI.","")</f>
        <v/>
      </c>
      <c r="L112" s="714"/>
      <c r="M112" s="714"/>
      <c r="N112" s="714"/>
      <c r="O112" s="714"/>
      <c r="P112" s="714"/>
      <c r="Q112" s="714"/>
      <c r="R112" s="714"/>
      <c r="S112" s="714"/>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15" t="s">
        <v>683</v>
      </c>
      <c r="K114" s="715"/>
      <c r="L114" s="715"/>
      <c r="M114" s="715"/>
      <c r="N114" s="715"/>
      <c r="O114" s="715"/>
      <c r="P114" s="715"/>
      <c r="Q114" s="715"/>
      <c r="R114" s="715"/>
      <c r="S114" s="715"/>
    </row>
    <row r="115" spans="1:19" ht="15.75" hidden="1" x14ac:dyDescent="0.25">
      <c r="A115"/>
      <c r="B115"/>
      <c r="C115"/>
      <c r="D115"/>
      <c r="E115"/>
      <c r="F115"/>
      <c r="G115"/>
      <c r="I115" t="str">
        <f t="shared" ca="1" si="6"/>
        <v/>
      </c>
      <c r="J115" s="68"/>
      <c r="K115" s="68"/>
      <c r="L115" s="68"/>
      <c r="M115" s="716" t="s">
        <v>684</v>
      </c>
      <c r="N115" s="722" t="str">
        <f>IF($J97=$A$146,"(1+K1+K2)*(1+K3)","(1+AC + S + R + G)*(1 + DF)*(1+L)")</f>
        <v>(1+AC + S + R + G)*(1 + DF)*(1+L)</v>
      </c>
      <c r="O115" s="722"/>
      <c r="P115" s="722"/>
      <c r="Q115" s="723" t="s">
        <v>685</v>
      </c>
      <c r="R115" s="68"/>
      <c r="S115" s="68"/>
    </row>
    <row r="116" spans="1:19" ht="15.75" hidden="1" x14ac:dyDescent="0.2">
      <c r="A116"/>
      <c r="B116"/>
      <c r="C116"/>
      <c r="D116"/>
      <c r="E116"/>
      <c r="F116"/>
      <c r="G116"/>
      <c r="I116" t="str">
        <f t="shared" ca="1" si="6"/>
        <v/>
      </c>
      <c r="J116" s="68"/>
      <c r="K116" s="68"/>
      <c r="L116" s="68"/>
      <c r="M116" s="716"/>
      <c r="N116" s="711" t="s">
        <v>686</v>
      </c>
      <c r="O116" s="711"/>
      <c r="P116" s="711"/>
      <c r="Q116" s="723"/>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1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12"/>
      <c r="L118" s="712"/>
      <c r="M118" s="712"/>
      <c r="N118" s="712"/>
      <c r="O118" s="712"/>
      <c r="P118" s="712"/>
      <c r="Q118" s="712"/>
      <c r="R118" s="712"/>
      <c r="S118" s="712"/>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12"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712"/>
      <c r="L120" s="712"/>
      <c r="M120" s="712"/>
      <c r="N120" s="712"/>
      <c r="O120" s="712"/>
      <c r="P120" s="712"/>
      <c r="Q120" s="712"/>
      <c r="R120" s="712"/>
      <c r="S120" s="712"/>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24"/>
      <c r="K123" s="724"/>
      <c r="L123" s="724"/>
      <c r="M123" s="724"/>
      <c r="N123" s="724"/>
      <c r="O123" s="724"/>
      <c r="P123" s="724"/>
      <c r="Q123" s="724"/>
      <c r="R123" s="724"/>
      <c r="S123" s="724"/>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18" t="str">
        <f>Import.Município</f>
        <v>PILAR DO SUL</v>
      </c>
      <c r="K125" s="718"/>
      <c r="L125" s="718"/>
      <c r="M125" s="718"/>
      <c r="P125" s="719">
        <f ca="1">DADOS!$C$25</f>
        <v>46142</v>
      </c>
      <c r="Q125" s="719"/>
      <c r="R125" s="719"/>
      <c r="S125" s="719"/>
    </row>
    <row r="126" spans="1:19" hidden="1" x14ac:dyDescent="0.2">
      <c r="A126"/>
      <c r="B126"/>
      <c r="C126"/>
      <c r="D126"/>
      <c r="E126"/>
      <c r="F126"/>
      <c r="G126"/>
      <c r="I126" t="str">
        <f t="shared" ca="1" si="6"/>
        <v/>
      </c>
      <c r="J126" s="720" t="s">
        <v>693</v>
      </c>
      <c r="K126" s="720"/>
      <c r="L126" s="720"/>
      <c r="M126" s="720"/>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21"/>
      <c r="K128" s="721"/>
      <c r="L128" s="721"/>
      <c r="M128" s="721"/>
      <c r="N128" s="76"/>
    </row>
    <row r="129" spans="1:14" hidden="1" x14ac:dyDescent="0.2">
      <c r="A129"/>
      <c r="B129"/>
      <c r="C129"/>
      <c r="D129"/>
      <c r="E129"/>
      <c r="F129"/>
      <c r="G129"/>
      <c r="I129" t="str">
        <f t="shared" ca="1" si="6"/>
        <v/>
      </c>
      <c r="J129" s="717" t="s">
        <v>696</v>
      </c>
      <c r="K129" s="717"/>
      <c r="L129" s="717"/>
      <c r="M129" s="717"/>
    </row>
    <row r="130" spans="1:14" ht="14.25" hidden="1" x14ac:dyDescent="0.2">
      <c r="A130"/>
      <c r="B130"/>
      <c r="C130"/>
      <c r="D130"/>
      <c r="E130"/>
      <c r="F130"/>
      <c r="G130"/>
      <c r="I130" t="str">
        <f t="shared" ca="1" si="6"/>
        <v/>
      </c>
      <c r="J130" s="77" t="s">
        <v>240</v>
      </c>
      <c r="K130" s="78" t="str">
        <f t="array" ref="K130:K132">Import.RespOrçamento</f>
        <v>EDUARDO OLIVEIRA DOS SANTOS JUNIOR</v>
      </c>
      <c r="L130" s="79"/>
      <c r="M130" s="79"/>
      <c r="N130" s="76"/>
    </row>
    <row r="131" spans="1:14" ht="14.25" hidden="1" x14ac:dyDescent="0.2">
      <c r="A131"/>
      <c r="B131"/>
      <c r="C131"/>
      <c r="D131"/>
      <c r="E131"/>
      <c r="F131"/>
      <c r="G131"/>
      <c r="I131" t="str">
        <f t="shared" ca="1" si="6"/>
        <v/>
      </c>
      <c r="J131" s="77" t="s">
        <v>243</v>
      </c>
      <c r="K131" s="78" t="str">
        <v>5069244515-SP</v>
      </c>
      <c r="L131" s="79"/>
      <c r="M131" s="79"/>
      <c r="N131" s="76"/>
    </row>
    <row r="132" spans="1:14" ht="14.25" hidden="1" x14ac:dyDescent="0.2">
      <c r="A132"/>
      <c r="B132"/>
      <c r="C132"/>
      <c r="D132"/>
      <c r="E132"/>
      <c r="F132"/>
      <c r="G132"/>
      <c r="I132" t="str">
        <f t="shared" ca="1" si="6"/>
        <v/>
      </c>
      <c r="J132" s="77" t="s">
        <v>246</v>
      </c>
      <c r="K132" s="78" t="str">
        <v>2620260743929</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lcQjoWkfgGPrLQ6nGbQW0wc++uhu/5G0BvE6huHrJX7qkNSHknsIlu6mZZVPm495MLTVcho5dcqpHVAdkFAS2g==" saltValue="OoiWh9QauaivxxNvOyHHyQ==" spinCount="100000" sheet="1" objects="1" scenarios="1" autoFilter="0"/>
  <autoFilter ref="I11:I132" xr:uid="{00000000-0009-0000-0000-000003000000}">
    <filterColumn colId="0">
      <filters>
        <filter val="F"/>
      </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365" priority="11" stopIfTrue="1">
      <formula>DESONERACAO="não"</formula>
    </cfRule>
  </conditionalFormatting>
  <conditionalFormatting sqref="U69:W69 U29:W29 U109:W109">
    <cfRule type="expression" dxfId="364" priority="12" stopIfTrue="1">
      <formula>AND(U29&lt;&gt;"OK",U29&lt;&gt;"-",U29&lt;&gt;"")</formula>
    </cfRule>
    <cfRule type="cellIs" dxfId="363" priority="13" stopIfTrue="1" operator="equal">
      <formula>"OK"</formula>
    </cfRule>
  </conditionalFormatting>
  <conditionalFormatting sqref="S29 S69 S109">
    <cfRule type="expression" dxfId="362" priority="14" stopIfTrue="1">
      <formula>DESONERACAO="não"</formula>
    </cfRule>
  </conditionalFormatting>
  <conditionalFormatting sqref="J23:S24">
    <cfRule type="expression" dxfId="361" priority="9">
      <formula>$J$17=$A$146</formula>
    </cfRule>
  </conditionalFormatting>
  <conditionalFormatting sqref="S21:S26">
    <cfRule type="expression" dxfId="360" priority="8">
      <formula>$J$17=$A$145</formula>
    </cfRule>
  </conditionalFormatting>
  <conditionalFormatting sqref="J63:S64">
    <cfRule type="expression" dxfId="359" priority="7">
      <formula>$J$57=$A$146</formula>
    </cfRule>
  </conditionalFormatting>
  <conditionalFormatting sqref="S61:S66">
    <cfRule type="expression" dxfId="358" priority="6">
      <formula>$J$57=$A$145</formula>
    </cfRule>
  </conditionalFormatting>
  <conditionalFormatting sqref="J103:S104">
    <cfRule type="expression" dxfId="357" priority="5">
      <formula>$J$97=$A$146</formula>
    </cfRule>
  </conditionalFormatting>
  <conditionalFormatting sqref="S101:S106">
    <cfRule type="expression" dxfId="356" priority="4">
      <formula>$J$97=$A$145</formula>
    </cfRule>
  </conditionalFormatting>
  <conditionalFormatting sqref="U21:W28">
    <cfRule type="cellIs" dxfId="355" priority="3" operator="notEqual">
      <formula>"OK"</formula>
    </cfRule>
  </conditionalFormatting>
  <conditionalFormatting sqref="U61:W68">
    <cfRule type="cellIs" dxfId="354" priority="2" operator="notEqual">
      <formula>"OK"</formula>
    </cfRule>
  </conditionalFormatting>
  <conditionalFormatting sqref="U101:W108">
    <cfRule type="cellIs" dxfId="353"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86"/>
  <sheetViews>
    <sheetView showGridLines="0" tabSelected="1" zoomScaleNormal="100" zoomScaleSheetLayoutView="90" workbookViewId="0">
      <pane xSplit="19" ySplit="15" topLeftCell="T16" activePane="bottomRight" state="frozen"/>
      <selection pane="topRight" activeCell="T1" sqref="T1"/>
      <selection pane="bottomLeft" activeCell="L16" sqref="L16"/>
      <selection pane="bottomRight" activeCell="Q21" sqref="Q21"/>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79" t="s">
        <v>650</v>
      </c>
      <c r="P4" s="679"/>
      <c r="Q4" s="87" t="s">
        <v>707</v>
      </c>
      <c r="R4" s="87" t="s">
        <v>652</v>
      </c>
      <c r="S4" s="679" t="s">
        <v>708</v>
      </c>
      <c r="T4" s="679"/>
      <c r="U4" s="679"/>
      <c r="V4" s="679"/>
      <c r="W4" s="679"/>
      <c r="X4" s="679"/>
      <c r="Y4" s="77"/>
      <c r="Z4" s="77"/>
      <c r="AA4" s="77"/>
      <c r="AB4" s="77"/>
    </row>
    <row r="5" spans="1:40" ht="12.75" customHeight="1" x14ac:dyDescent="0.2">
      <c r="A5" s="450">
        <f ca="1">MAX($C$15:$C$56)</f>
        <v>2</v>
      </c>
      <c r="B5" s="7"/>
      <c r="C5" s="7"/>
      <c r="D5" s="7"/>
      <c r="E5" s="7"/>
      <c r="F5" s="663">
        <f ca="1">IF(BDI.Opcao="DESONERADO",BDI!$S$30,BDI!$S$29)</f>
        <v>0.24329999999999999</v>
      </c>
      <c r="G5" s="663">
        <f ca="1">IF(BDI.Opcao="DESONERADO",BDI!$S$70,BDI!$S$69)</f>
        <v>0</v>
      </c>
      <c r="H5" s="663">
        <f ca="1">IF(BDI.Opcao="DESONERADO",BDI!$S$110,BDI!$S$109)</f>
        <v>0</v>
      </c>
      <c r="I5" s="7"/>
      <c r="O5" s="682" t="str">
        <f>Import.CR</f>
        <v>1101329-56</v>
      </c>
      <c r="P5" s="682"/>
      <c r="Q5" s="90" t="str" cm="1">
        <f t="array" ref="Q5">Import.TransfereGOV</f>
        <v>11213/2025</v>
      </c>
      <c r="R5" s="91" t="str">
        <f>Import.Proponente</f>
        <v>PREFEITURA MUNICIPAL DE PILAR DO SUL</v>
      </c>
      <c r="S5" s="682" t="str">
        <f>Import.Apelido</f>
        <v>INFRAESTRUTURA URBANA COM RECUPERAÇÃO, DRENAGEM E RECAPEAMENTO ASFÁLTICO RUAS DO MUNICÍPIO DE PILAR DO SUL</v>
      </c>
      <c r="T5" s="682"/>
      <c r="U5" s="682"/>
      <c r="V5" s="682"/>
      <c r="W5" s="682"/>
      <c r="X5" s="682"/>
      <c r="Y5" s="92"/>
      <c r="Z5" s="92"/>
      <c r="AA5" s="92"/>
      <c r="AB5" s="92"/>
      <c r="AE5" s="732" t="s">
        <v>709</v>
      </c>
      <c r="AF5" s="732"/>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79" t="s">
        <v>710</v>
      </c>
      <c r="P7" s="679"/>
      <c r="Q7" s="87" t="s">
        <v>711</v>
      </c>
      <c r="R7" s="87" t="str" cm="1">
        <f t="array" ref="R7">IF(TIPOORCAMENTO="Licitado","NOME DA EMPRESA","DESCRIÇÃO DO LOTE")</f>
        <v>DESCRIÇÃO DO LOTE</v>
      </c>
      <c r="S7" s="733" t="str" cm="1">
        <f t="array" ref="S7">IF(TIPOORCAMENTO="Licitado","REGIME DE EXECUÇÃO","MUNICÍPIO / UF")</f>
        <v>MUNICÍPIO / UF</v>
      </c>
      <c r="T7" s="733"/>
      <c r="U7" s="733"/>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IF(COUNTIFS($L$15:$L$56,"F",$AC$15:$AC$56,"JUSTIFICAR BDI")&gt;0,"JUSTIFICAR BDI","")</f>
        <v/>
      </c>
      <c r="AE7" s="88" t="s">
        <v>712</v>
      </c>
      <c r="AF7" s="89" t="b">
        <v>1</v>
      </c>
      <c r="AJ7" s="735" t="s">
        <v>713</v>
      </c>
      <c r="AL7" s="734" t="s">
        <v>714</v>
      </c>
    </row>
    <row r="8" spans="1:40" ht="12.75" customHeight="1" x14ac:dyDescent="0.2">
      <c r="A8" s="7"/>
      <c r="B8" s="7"/>
      <c r="C8" s="7"/>
      <c r="E8" s="506" t="s">
        <v>996</v>
      </c>
      <c r="F8" s="730" t="str" cm="1">
        <f t="array" aca="1" ref="F8" ca="1">IF(LEN(INFO("release"))&gt;5,"'Referência "&amp;Excel_BuiltIn_Database&amp;".xlsm'#Banco.$a5:$a$65536","'[Referência "&amp;Excel_BuiltIn_Database&amp;".xlsm]Banco'!$a5:$a$65536")</f>
        <v>'[Referência 01-2026.xlsm]Banco'!$a5:$a$65536</v>
      </c>
      <c r="G8" s="730"/>
      <c r="H8" s="730"/>
      <c r="I8" s="730"/>
      <c r="J8" s="730"/>
      <c r="K8" s="730"/>
      <c r="L8" s="686" t="s">
        <v>655</v>
      </c>
      <c r="O8" s="682" t="str" cm="1">
        <f t="array" aca="1" ref="O8" ca="1">IF(ISERROR(INDIRECT($F$9)),"(N/D: 'Referência "&amp;Excel_BuiltIn_Database&amp;".xlsm)",INDIRECT($F$9))</f>
        <v>SAO PAULO</v>
      </c>
      <c r="P8" s="682"/>
      <c r="Q8" s="99" t="str" cm="1">
        <f t="array" aca="1" ref="Q8" ca="1">TEXT(Import.DataBase,"mm-aa")&amp;IF(DESONERACAO="Sim"," (DES.)"," (N DES.)")</f>
        <v>01-26 (DES.)</v>
      </c>
      <c r="R8" s="91" t="str" cm="1">
        <f t="array" ref="R8">IF(TIPOORCAMENTO="Licitado",Import.empresa,Import.DescLote)</f>
        <v>QUALIFICAÇÃO VIÁRIA COM EXECUÇÃO DE RECAPEAMENTO ASFÁLTICO EM RUAS DO MUNICÍPIO DE PILAR DO SUL</v>
      </c>
      <c r="S8" s="731" t="str" cm="1">
        <f t="array" ref="S8">IF(TIPOORCAMENTO="Licitado",Import.RegimeExecução,Import.Município)</f>
        <v>PILAR DO SUL</v>
      </c>
      <c r="T8" s="731"/>
      <c r="U8" s="731"/>
      <c r="V8" s="100" t="str" cm="1">
        <f t="array" aca="1" ref="V8" ca="1">IF(TIPOORCAMENTO="Licitado","",TEXT(F5,"0,00%"))</f>
        <v>24,33%</v>
      </c>
      <c r="W8" s="100" t="str" cm="1">
        <f t="array" aca="1" ref="W8" ca="1">IF(TIPOORCAMENTO="Licitado","",TEXT(G5,"0,00%"))</f>
        <v>0,00%</v>
      </c>
      <c r="X8" s="101" t="str" cm="1">
        <f t="array" aca="1" ref="X8" ca="1">IF(TIPOORCAMENTO="Licitado",Import.CTEF,TEXT(H5,"0,00%"))</f>
        <v>0,00%</v>
      </c>
      <c r="Y8" s="686" t="s">
        <v>715</v>
      </c>
      <c r="Z8" s="686" t="s">
        <v>716</v>
      </c>
      <c r="AA8" s="102"/>
      <c r="AB8" s="102"/>
      <c r="AE8" s="88" t="s">
        <v>717</v>
      </c>
      <c r="AF8" s="89" t="b">
        <v>1</v>
      </c>
      <c r="AJ8" s="735"/>
      <c r="AL8" s="734"/>
    </row>
    <row r="9" spans="1:40" ht="12.75" customHeight="1" x14ac:dyDescent="0.2">
      <c r="E9" s="506" t="s">
        <v>994</v>
      </c>
      <c r="F9" s="730" t="str" cm="1">
        <f t="array" aca="1" ref="F9" ca="1">IF(LEN(INFO("release"))&gt;5,"'Referência "&amp;Excel_BuiltIn_Database&amp;".xlsm'#Banco.$d$3","'[Referência "&amp;Excel_BuiltIn_Database&amp;".xlsm]Banco'!$d$3")</f>
        <v>'[Referência 01-2026.xlsm]Banco'!$d$3</v>
      </c>
      <c r="G9" s="730"/>
      <c r="H9" s="730"/>
      <c r="I9" s="730"/>
      <c r="J9" s="730"/>
      <c r="K9" s="730"/>
      <c r="L9" s="686"/>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86"/>
      <c r="Z9" s="686"/>
      <c r="AE9" s="88" t="s">
        <v>23</v>
      </c>
      <c r="AF9" s="89" t="b">
        <v>1</v>
      </c>
      <c r="AJ9" s="735"/>
      <c r="AL9" s="734"/>
    </row>
    <row r="10" spans="1:40" x14ac:dyDescent="0.2">
      <c r="E10" s="506" t="s">
        <v>995</v>
      </c>
      <c r="F10" s="730" t="str" cm="1">
        <f t="array" aca="1" ref="F10" ca="1">IF(LEN(INFO("release"))&gt;5,"'Referência "&amp;Excel_BuiltIn_Database&amp;".xlsm'#Banco.$B$3","'[Referência "&amp;Excel_BuiltIn_Database&amp;".xlsm]Banco'!$B$3")</f>
        <v>'[Referência 01-2026.xlsm]Banco'!$B$3</v>
      </c>
      <c r="G10" s="730"/>
      <c r="H10" s="730"/>
      <c r="I10" s="730"/>
      <c r="J10" s="730"/>
      <c r="K10" s="730"/>
      <c r="L10" s="686"/>
      <c r="Y10" s="686"/>
      <c r="Z10" s="686"/>
      <c r="AC10" s="103" t="s">
        <v>718</v>
      </c>
      <c r="AE10" s="88" t="s">
        <v>719</v>
      </c>
      <c r="AF10" s="89" t="b">
        <v>1</v>
      </c>
      <c r="AJ10" s="735"/>
      <c r="AL10" s="734"/>
    </row>
    <row r="11" spans="1:40" x14ac:dyDescent="0.2">
      <c r="F11" s="661" t="str" cm="1">
        <f t="array" aca="1" ref="F11" ca="1">IFERROR(INDIRECT(F10),"")</f>
        <v>01/2026</v>
      </c>
      <c r="G11" s="665" t="str" cm="1">
        <f t="array" aca="1" ref="G11" ca="1">IFERROR(TEXT(Import.DataBase,"mm/aaaa"),"")</f>
        <v>01/2026</v>
      </c>
      <c r="H11" s="104"/>
      <c r="L11" s="686"/>
      <c r="Y11" s="686"/>
      <c r="Z11" s="686"/>
      <c r="AC11" s="105" t="str">
        <f ca="1">IF(COUNTIFS($L$15:$L$56,"F",$AC$15:$AC$56,"&lt;&gt;"&amp;" ",$AC$15:$AC$56,"&lt;&gt;"&amp;"JUSTIFICAR BDI")&gt;0,"NÃO OK","OK")</f>
        <v>NÃO OK</v>
      </c>
      <c r="AE11" s="88" t="s">
        <v>720</v>
      </c>
      <c r="AF11" s="89" t="b">
        <v>1</v>
      </c>
      <c r="AJ11" s="735"/>
      <c r="AL11" s="734"/>
    </row>
    <row r="12" spans="1:40" ht="20.100000000000001" customHeight="1" x14ac:dyDescent="0.2">
      <c r="G12" s="85"/>
      <c r="H12" s="85"/>
      <c r="L12" s="686"/>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IF(COUNTIF($AC$15:$AC$56,"FONTE")&gt;0,"Falta preencher a Fonte (coluna P) na Linha "&amp;(14+MATCH("FONTE",$AC$15:$AC$56,0)),
 IF(COUNTIF($AC$15:$AC$56,"CÓDIGO")&gt;0,"Falta preencher o Código (coluna Q) na Linha "&amp;(14+MATCH("CÓDIGO",$AC$15:$AC$56,0)),
 IF(COUNTIF($AC$15:$AC$56,"CÓDIGO N/ID")&gt;0,"Código (coluna Q) não identificado na Linha "&amp;(14+MATCH("CÓDIGO N/ID",$AC$15:$AC$56,0))&amp;". Verifique se o código está correto ou busque outro código",
 IF(COUNTIF($AC$15:$AC$56,"DESCRIÇÃO")&gt;0,"Falta preencher a Descrição (coluna R) na Linha "&amp;(14+MATCH("DESCRIÇÃO",$AC$15:$AC$56,0)),
 IF(COUNTIF($AC$15:$AC$56,"UNIDADE")&gt;0,"Falta preencher a Unidade (coluna S) na Linha "&amp;(14+MATCH("UNIDADE",$AC$15:$AC$56,0)),
 IF(COUNTIF($AC$15:$AC$56,"SEM CUSTO")&gt;0,"Falta preencher o Custo Unitário (coluna U) na Linha "&amp;(14+MATCH("SEM CUSTO",$AC$15:$AC$56,0)),
 IF(COUNTIF($AC$15:$AC$56,"SEM PREÇO")&gt;0,"Falta preencher o Preço Unitário licitado (coluna AL) na Linha "&amp;(14+MATCH("SEM CUSTO",$AC$15:$AC$56,0)),
 IF(COUNTIF($AC$15:$AC$56,"BDI")&gt;0,"Falta definir o BDI (coluna V) na Linha "&amp;(14+MATCH("BDI",$AC$15:$AC$56,0)),
 IF(COUNTIF($AC$15:$AC$56,"ACIMA REF.")&gt;0,
         IF(TIPOORCAMENTO="Proposto","O custo unitário (coluna U) na Linha "&amp;(14+MATCH("ACIMA REF.",$AC$15:$AC$56,0))&amp;" está acima do custo referencial (coluna AG)",
            "O preço unitário licitado (coluna AL) na Linha "&amp;(14+MATCH("ACIMA REF.",$AC$15:$AC$56,0))&amp;" está acima do preço referencial do edital (coluna AN)"),
 IF(COUNTIF($AC$15:$AC$56,"QUANT.")&gt;0,"Falta a Quantidade do serviço na Linha "&amp;(14+MATCH("QUANT.",$AC$15:$AC$56,0))&amp;IF(ACOMPANHAMENTO="PLE",". Preencher na aba CÁLCULO",". Preencher na coluna AJ"),
 IF(COUNTIF($AC$15:$AC$56,"Código &gt;13")&gt;0,"O tamanho do código do serviço no TransfereGOV é limitado a 13 caracteres. Resuma o código (coluna Q) na Linha "&amp;(14+MATCH("Código &gt;13",$AC$15:$AC$56,0)),
 IF(COUNTIF($AC$15:$AC$56,"Descrição &gt;100")&gt;0,"O tamanho da descrição de macrosserviço no TransfereGOV é limitado a 100 caracteres. Resuma a descrição (coluna R) na Linha "&amp;(14+MATCH("Descrição &gt;100",$AC$15:$AC$56,0)),
 IF(COUNTIF($AC$15:$AC$56,"Descrição &gt;500")&gt;0,"O tamanho da descrição de serviço no TransfereGOV é limitado a 500 caracteres. Resuma a descrição (coluna R) na Linha "&amp;(14+MATCH("Descrição &gt;500",$AC$15:$AC$56,0)),
 IF(COUNTIF($AC$15:$AC$56,"Unid. Não Disp")&gt;0,"Unidade não disponível na lista do TransfereGOV. Reveja a unidade (coluna S) na Linha "&amp;(14+MATCH("Unid. Não Disp",$AC$15:$AC$56,0)),
 IF(AND(TIPOORCAMENTO="Proposto",LEFT($O$8,5)="(N/D:"),"Abra o arquivo Referência "&amp;Excel_BuiltIn_Database&amp;".xlsm","")))))))))))))))))</f>
        <v>O custo unitário (coluna U) na Linha 19 está acima do custo referencial (coluna AG)</v>
      </c>
      <c r="Y12" s="686"/>
      <c r="Z12" s="686"/>
      <c r="AA12" s="690" t="s">
        <v>721</v>
      </c>
      <c r="AB12" s="690"/>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IF(OR($C14="S",$C14=0),0,MATCH(0,OFFSET($D14,1,$C14,ROW($C$56)-ROW($C14)),0))</f>
        <v>0</v>
      </c>
      <c r="K14">
        <f ca="1">IF(OR($C14="S",$C14=0),0,MATCH(OFFSET($D14,0,$C14)+IF($C14&lt;&gt;1,1,COUNTIF(QCI!$A$13:$A$15,ORÇAMENTO!E14)),OFFSET($D14,1,$C14,ROW($C$56)-ROW($C14)),0))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IF(C14&lt;=CRONO.NivelExibicao,MAX($AD$15:OFFSET(AD14,-1,0))+IF($C14&lt;&gt;1,1,MAX(1,COUNTIF(QCI!$A$13:$A$15,OFFSET($E14,-1,0)))),"")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0.24329999999999999</v>
      </c>
      <c r="AJ14" s="431"/>
      <c r="AL14" s="439"/>
      <c r="AM14" s="336">
        <f t="shared" ref="AM14:AM55" ca="1" si="0">$X14</f>
        <v>0</v>
      </c>
      <c r="AN14" s="470" cm="1">
        <f t="array" aca="1" ref="AN14" ca="1">ROUND(ORÇAMENTO.CustoUnitario*(1+$AH14),2)</f>
        <v>0</v>
      </c>
    </row>
    <row r="15" spans="1:40" ht="12.75" customHeight="1" x14ac:dyDescent="0.2">
      <c r="A15">
        <v>0</v>
      </c>
      <c r="C15" t="s">
        <v>654</v>
      </c>
      <c r="D15">
        <f ca="1">COUNTA(OFFSET(D15,1,0):D$56)</f>
        <v>40</v>
      </c>
      <c r="E15">
        <v>0</v>
      </c>
      <c r="L15" s="114" t="s">
        <v>536</v>
      </c>
      <c r="M15" s="130" t="str" cm="1">
        <f t="array" ref="M15">IF(TIPOORCAMENTO="LICITADO","CTEF","LOTE")</f>
        <v>LOTE</v>
      </c>
      <c r="N15" s="130" t="str" cm="1">
        <f t="array" ref="N15">IF(TIPOORCAMENTO="LICITADO","CTEF","LOTE")</f>
        <v>LOTE</v>
      </c>
      <c r="O15" s="725" t="str">
        <f>Import.DescLote</f>
        <v>QUALIFICAÇÃO VIÁRIA COM EXECUÇÃO DE RECAPEAMENTO ASFÁLTICO EM RUAS DO MUNICÍPIO DE PILAR DO SUL</v>
      </c>
      <c r="P15" s="726"/>
      <c r="Q15" s="726"/>
      <c r="R15" s="726"/>
      <c r="S15" s="613"/>
      <c r="T15" s="614"/>
      <c r="U15" s="614"/>
      <c r="V15" s="615"/>
      <c r="W15" s="614"/>
      <c r="X15" s="131">
        <f ca="1">SUMIF(OFFSET($C15,1,0,ROW(X56)-ROW(X15)-1),"S",OFFSET(X15,1,0,ROW(X56)-ROW(X15)-1))</f>
        <v>1081686.6200000003</v>
      </c>
      <c r="Y15" s="7"/>
      <c r="Z15" t="str">
        <f ca="1">IF(AND($C15="S",$X15&gt;0),LEFT($Y15,2),"")</f>
        <v/>
      </c>
      <c r="AA15" s="426">
        <f ca="1">SUMIF(OFFSET($C15,1,0,ROW(AA56)-ROW(AA15)-1),"S",OFFSET(AA15,1,0,ROW(AA56)-ROW(AA15)-1))</f>
        <v>121667.62000000011</v>
      </c>
      <c r="AB15" s="132">
        <f ca="1">SUMIF(OFFSET($C15,1,0,ROW(AB56)-ROW(AB15)-1),"S",OFFSET(AB15,1,0,ROW(AB56)-ROW(AB15)-1))</f>
        <v>0</v>
      </c>
      <c r="AC15" s="565" t="s">
        <v>752</v>
      </c>
      <c r="AG15" s="441"/>
      <c r="AH15" s="442"/>
      <c r="AJ15" s="430"/>
      <c r="AL15" s="440"/>
      <c r="AM15" s="471">
        <f t="shared" ca="1" si="0"/>
        <v>1081686.6200000003</v>
      </c>
      <c r="AN15" s="472"/>
    </row>
    <row r="16" spans="1:40" ht="25.5" x14ac:dyDescent="0.2">
      <c r="A16">
        <f t="shared" ref="A16:A55" si="1">CHOOSE(1+LOG(1+2*(ORÇAMENTO.Nivel="Meta")+4*(ORÇAMENTO.Nivel="Nível 2")+8*(ORÇAMENTO.Nivel="Nível 3")+16*(ORÇAMENTO.Nivel="Nível 4")+32*(ORÇAMENTO.Nivel="Serviço"),2),0,1,2,3,4,"S")</f>
        <v>1</v>
      </c>
      <c r="B16">
        <f t="shared" ref="B16:B55" ca="1" si="2">IF(OR(C16="s",C16=0),OFFSET(B16,-1,0),C16)</f>
        <v>1</v>
      </c>
      <c r="C16">
        <f t="shared" ref="C16:C55" ca="1" si="3">IF(OFFSET(C16,-1,0)="L",1,IF(OFFSET(C16,-1,0)=1,2,IF(OR(A16="s",A16=0),"S",IF(AND(OFFSET(C16,-1,0)=2,A16=4),3,IF(AND(OR(OFFSET(C16,-1,0)="s",OFFSET(C16,-1,0)=0),A16&lt;&gt;"s",A16&gt;OFFSET(B16,-1,0)),OFFSET(B16,-1,0),A16)))))</f>
        <v>1</v>
      </c>
      <c r="D16">
        <f t="shared" ref="D16:D55" ca="1" si="4">IF(OR(C16="S",C16=0),0,IF(ISERROR(K16),J16,SMALL(J16:K16,1)))</f>
        <v>40</v>
      </c>
      <c r="E16">
        <f ca="1">IF($C16=1,OFFSET(E16,-1,0)+MAX(1,COUNTIF(QCI!$A$13:$A$15,OFFSET(ORÇAMENTO!E16,-1,0))),OFFSET(E16,-1,0))</f>
        <v>1</v>
      </c>
      <c r="F16">
        <f t="shared" ref="F16:F55" ca="1" si="5">IF($C16=1,0,IF($C16=2,OFFSET(F16,-1,0)+1,OFFSET(F16,-1,0)))</f>
        <v>0</v>
      </c>
      <c r="G16">
        <f t="shared" ref="G16:G55" ca="1" si="6">IF(AND($C16&lt;=2,$C16&lt;&gt;0),0,IF($C16=3,OFFSET(G16,-1,0)+1,OFFSET(G16,-1,0)))</f>
        <v>0</v>
      </c>
      <c r="H16">
        <f t="shared" ref="H16:H55" ca="1" si="7">IF(AND($C16&lt;=3,$C16&lt;&gt;0),0,IF($C16=4,OFFSET(H16,-1,0)+1,OFFSET(H16,-1,0)))</f>
        <v>0</v>
      </c>
      <c r="I16">
        <f t="shared" ref="I16:I55" ca="1" si="8">IF(AND($C16&lt;=4,$C16&lt;&gt;0),0,IF(AND($C16="S",$X16&gt;0),OFFSET(I16,-1,0)+1,OFFSET(I16,-1,0)))</f>
        <v>0</v>
      </c>
      <c r="J16">
        <f t="shared" ref="J16:J55" ca="1" si="9">IF(OR($C16="S",$C16=0),0,MATCH(0,OFFSET($D16,1,$C16,ROW($C$56)-ROW($C16)),0))</f>
        <v>40</v>
      </c>
      <c r="K16" t="e">
        <f ca="1">IF(OR($C16="S",$C16=0),0,MATCH(OFFSET($D16,0,$C16)+IF($C16&lt;&gt;1,1,COUNTIF(QCI!$A$13:$A$15,ORÇAMENTO!E16)),OFFSET($D16,1,$C16,ROW($C$56)-ROW($C16)),0))</f>
        <v>#N/A</v>
      </c>
      <c r="L16" s="114" t="str">
        <f t="shared" ref="L16:L55" ca="1" si="10">IF(OR($X16&gt;0,$C16=1,$C16=2,$C16=3,$C16=4),"F","")</f>
        <v>F</v>
      </c>
      <c r="M16" s="115" t="s">
        <v>701</v>
      </c>
      <c r="N16" s="116" t="str">
        <f t="shared" ref="N16:N55" ca="1" si="11">CHOOSE(1+LOG(1+2*(C16=1)+4*(C16=2)+8*(C16=3)+16*(C16=4)+32*(C16="S"),2),"","Meta","Nível 2","Nível 3","Nível 4","Serviço")</f>
        <v>Meta</v>
      </c>
      <c r="O16" s="117" t="str">
        <f t="shared" ref="O16:O55" ca="1" si="12">IF(OR($C16=0,$L16=""),"-",CONCATENATE(E16&amp;".",IF(AND($A$5&gt;=2,$C16&gt;=2),F16&amp;".",""),IF(AND($A$5&gt;=3,$C16&gt;=3),G16&amp;".",""),IF(AND($A$5&gt;=4,$C16&gt;=4),H16&amp;".",""),IF($C16="S",I16&amp;".","")))</f>
        <v>1.</v>
      </c>
      <c r="P16" s="118" t="s">
        <v>750</v>
      </c>
      <c r="Q16" s="119"/>
      <c r="R16" s="120" t="s">
        <v>1009</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1081686.6200000001</v>
      </c>
      <c r="Y16" s="126" t="s">
        <v>751</v>
      </c>
      <c r="Z16" t="str">
        <f t="shared" ref="Z16:Z55" ca="1" si="13">IF(AND($C16="S",$X16&gt;0),IF(ISBLANK($Y16),"RA",LEFT($Y16,2)),"")</f>
        <v/>
      </c>
      <c r="AA16" s="127" cm="1">
        <f t="array" aca="1" ref="AA16" ca="1">IF($C16="S",IF($Z16="CP",$X16,IF($Z16="RA",(($X16)*QCI!$AA$3),0)),SomaAgrup)</f>
        <v>121667.62000000011</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IF(C16&lt;=CRONO.NivelExibicao,MAX($AD$15:OFFSET(AD16,-1,0))+IF($C16&lt;&gt;1,1,MAX(1,COUNTIF(QCI!$A$13:$A$15,OFFSET($E16,-1,0)))),"")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55" ca="1" si="14">ROUND(IF(ISNUMBER(ORÇAMENTO.OpcaoBDI),ORÇAMENTO.OpcaoBDI,IF(LEFT(ORÇAMENTO.OpcaoBDI,3)="BDI",HLOOKUP(ORÇAMENTO.OpcaoBDI,$F$4:$H$5,2,FALSE),0)),15-11*$AF$9)</f>
        <v>0.24329999999999999</v>
      </c>
      <c r="AJ16" s="431"/>
      <c r="AL16" s="439"/>
      <c r="AM16" s="336">
        <f t="shared" ca="1" si="0"/>
        <v>1081686.6200000001</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IF($C17=1,OFFSET(E17,-1,0)+MAX(1,COUNTIF(QCI!$A$13:$A$15,OFFSET(ORÇAMENTO!E17,-1,0))),OFFSET(E17,-1,0))</f>
        <v>1</v>
      </c>
      <c r="F17">
        <f t="shared" ca="1" si="5"/>
        <v>1</v>
      </c>
      <c r="G17">
        <f t="shared" ca="1" si="6"/>
        <v>0</v>
      </c>
      <c r="H17">
        <f t="shared" ca="1" si="7"/>
        <v>0</v>
      </c>
      <c r="I17">
        <f t="shared" ca="1" si="8"/>
        <v>0</v>
      </c>
      <c r="J17">
        <f t="shared" ca="1" si="9"/>
        <v>39</v>
      </c>
      <c r="K17">
        <f ca="1">IF(OR($C17="S",$C17=0),0,MATCH(OFFSET($D17,0,$C17)+IF($C17&lt;&gt;1,1,COUNTIF(QCI!$A$13:$A$15,ORÇAMENTO!E17)),OFFSET($D17,1,$C17,ROW($C$56)-ROW($C17)),0))</f>
        <v>4</v>
      </c>
      <c r="L17" s="114" t="str">
        <f t="shared" ca="1" si="10"/>
        <v>F</v>
      </c>
      <c r="M17" s="115" t="s">
        <v>702</v>
      </c>
      <c r="N17" s="116" t="str">
        <f t="shared" ca="1" si="11"/>
        <v>Nível 2</v>
      </c>
      <c r="O17" s="117" t="str">
        <f t="shared" ca="1" si="12"/>
        <v>1.1.</v>
      </c>
      <c r="P17" s="118" t="s">
        <v>750</v>
      </c>
      <c r="Q17" s="119"/>
      <c r="R17" s="120" t="s">
        <v>1144</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11352.66</v>
      </c>
      <c r="Y17" s="126" t="s">
        <v>751</v>
      </c>
      <c r="Z17" t="str">
        <f t="shared" ca="1" si="13"/>
        <v/>
      </c>
      <c r="AA17" s="127" cm="1">
        <f t="array" aca="1" ref="AA17" ca="1">IF($C17="S",IF($Z17="CP",$X17,IF($Z17="RA",(($X17)*QCI!$AA$3),0)),SomaAgrup)</f>
        <v>1276.9420434073604</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IF(C17&lt;=CRONO.NivelExibicao,MAX($AD$15:OFFSET(AD17,-1,0))+IF($C17&lt;&gt;1,1,MAX(1,COUNTIF(QCI!$A$13:$A$15,OFFSET($E17,-1,0)))),"")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0.24329999999999999</v>
      </c>
      <c r="AJ17" s="431"/>
      <c r="AL17" s="439"/>
      <c r="AM17" s="336">
        <f t="shared" ca="1" si="0"/>
        <v>11352.66</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IF($C18=1,OFFSET(E18,-1,0)+MAX(1,COUNTIF(QCI!$A$13:$A$15,OFFSET(ORÇAMENTO!E18,-1,0))),OFFSET(E18,-1,0))</f>
        <v>1</v>
      </c>
      <c r="F18">
        <f t="shared" ca="1" si="5"/>
        <v>1</v>
      </c>
      <c r="G18">
        <f t="shared" ca="1" si="6"/>
        <v>0</v>
      </c>
      <c r="H18">
        <f t="shared" ca="1" si="7"/>
        <v>0</v>
      </c>
      <c r="I18">
        <f t="shared" ca="1" si="8"/>
        <v>1</v>
      </c>
      <c r="J18">
        <f t="shared" ca="1" si="9"/>
        <v>0</v>
      </c>
      <c r="K18">
        <f ca="1">IF(OR($C18="S",$C18=0),0,MATCH(OFFSET($D18,0,$C18)+IF($C18&lt;&gt;1,1,COUNTIF(QCI!$A$13:$A$15,ORÇAMENTO!E18)),OFFSET($D18,1,$C18,ROW($C$56)-ROW($C18)),0))</f>
        <v>0</v>
      </c>
      <c r="L18" s="114" t="str">
        <f t="shared" ca="1" si="10"/>
        <v>F</v>
      </c>
      <c r="M18" s="115" t="s">
        <v>705</v>
      </c>
      <c r="N18" s="116" t="str">
        <f t="shared" ca="1" si="11"/>
        <v>Serviço</v>
      </c>
      <c r="O18" s="117" t="str">
        <f t="shared" ca="1" si="12"/>
        <v>1.1.1.</v>
      </c>
      <c r="P18" s="118" t="s">
        <v>750</v>
      </c>
      <c r="Q18" s="119" t="s">
        <v>1007</v>
      </c>
      <c r="R18" s="120" t="str" cm="1">
        <f t="array" aca="1" ref="R18" ca="1">IF($C18="S",REFERENCIA.Descricao,"(digite a descrição aqui)")</f>
        <v>FORNECIMENTO E INSTALAÇÃO DE PLACA DE OBRA COM CHAPA GALVANIZADA E ESTRUTURA DE MADEIRA. AF_03/2022_PS</v>
      </c>
      <c r="S18" s="121" t="str" cm="1">
        <f t="array" aca="1" ref="S18" ca="1">REFERENCIA.Unidade</f>
        <v>M2</v>
      </c>
      <c r="T18" s="122">
        <f ca="1">OFFSET(CÁLCULO!H$15,ROW($T18)-ROW(T$15),0)</f>
        <v>2.88</v>
      </c>
      <c r="U18" s="123">
        <v>471.44</v>
      </c>
      <c r="V18" s="124" t="s">
        <v>663</v>
      </c>
      <c r="W18" s="122" cm="1">
        <f t="array" aca="1" ref="W18" ca="1">IF($C18="S",ROUND(IF(TIPOORCAMENTO="Proposto",ORÇAMENTO.CustoUnitario*(1+$AH18),ORÇAMENTO.PrecoUnitarioLicitado),15-13*$AF$10),0)</f>
        <v>586.14</v>
      </c>
      <c r="X18" s="125" cm="1">
        <f t="array" aca="1" ref="X18" ca="1">IF($C18="S",IF(OR(Import.TipoArredondamento&lt;&gt;"TransfereGOV",ACOMPANHAMENTO="BM"),VTOTAL1,SUM(OFFSET(CÁLCULO!$AA$15,ROW($X18)-ROW($X$15),1):OFFSET(CÁLCULO!$AL$15,ROW($X18)-ROW($X$15),-1))),IF($C18=0,0,ROUND(SomaAgrup,15-13*$AF$11)))</f>
        <v>1688.08</v>
      </c>
      <c r="Y18" s="126" t="s">
        <v>751</v>
      </c>
      <c r="Z18" t="str">
        <f t="shared" ca="1" si="13"/>
        <v>RA</v>
      </c>
      <c r="AA18" s="127" cm="1">
        <f t="array" aca="1" ref="AA18" ca="1">IF($C18="S",IF($Z18="CP",$X18,IF($Z18="RA",(($X18)*QCI!$AA$3),0)),SomaAgrup)</f>
        <v>189.87447211799676</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IF(C18&lt;=CRONO.NivelExibicao,MAX($AD$15:OFFSET(AD18,-1,0))+IF($C18&lt;&gt;1,1,MAX(1,COUNTIF(QCI!$A$13:$A$15,OFFSET($E18,-1,0)))),"")</f>
        <v/>
      </c>
      <c r="AE18" s="7" t="str" cm="1">
        <f t="array" aca="1" ref="AE18" ca="1">IF(AND($C18="S",ORÇAMENTO.CodBarra&lt;&gt;""),IF(ORÇAMENTO.Fonte="",ORÇAMENTO.CodBarra,CONCATENATE(ORÇAMENTO.Fonte," ",ORÇAMENTO.CodBarra)))</f>
        <v>SINAPI 103689</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15303</v>
      </c>
      <c r="AG18" s="428" cm="1">
        <f t="array" aca="1" ref="AG18" ca="1">ROUND(IF(DESONERACAO="sim",REFERENCIA.Desonerado,REFERENCIA.NaoDesonerado),2)</f>
        <v>471.44</v>
      </c>
      <c r="AH18" s="429">
        <f t="shared" ca="1" si="14"/>
        <v>0.24329999999999999</v>
      </c>
      <c r="AJ18" s="431"/>
      <c r="AL18" s="439">
        <v>440.89</v>
      </c>
      <c r="AM18" s="336">
        <f t="shared" ca="1" si="0"/>
        <v>1688.08</v>
      </c>
      <c r="AN18" s="470" cm="1">
        <f t="array" aca="1" ref="AN18" ca="1">ROUND(ORÇAMENTO.CustoUnitario*(1+$AH18),2)</f>
        <v>586.14</v>
      </c>
    </row>
    <row r="19" spans="1:40" x14ac:dyDescent="0.2">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IF($C19=1,OFFSET(E19,-1,0)+MAX(1,COUNTIF(QCI!$A$13:$A$15,OFFSET(ORÇAMENTO!E19,-1,0))),OFFSET(E19,-1,0))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2</v>
      </c>
      <c r="J19">
        <f t="shared" ca="1" si="9"/>
        <v>0</v>
      </c>
      <c r="K19">
        <f ca="1">IF(OR($C19="S",$C19=0),0,MATCH(OFFSET($D19,0,$C19)+IF($C19&lt;&gt;1,1,COUNTIF(QCI!$A$13:$A$15,ORÇAMENTO!E19)),OFFSET($D19,1,$C19,ROW($C$56)-ROW($C19)),0))</f>
        <v>0</v>
      </c>
      <c r="L19" s="114" t="str">
        <f ca="1">IF(OR($X19&gt;0,$C19=1,$C19=2,$C19=3,$C19=4),"F","")</f>
        <v>F</v>
      </c>
      <c r="M19" s="115" t="s">
        <v>705</v>
      </c>
      <c r="N19" s="116" t="str">
        <f ca="1">CHOOSE(1+LOG(1+2*(C19=1)+4*(C19=2)+8*(C19=3)+16*(C19=4)+32*(C19="S"),2),"","Meta","Nível 2","Nível 3","Nível 4","Serviço")</f>
        <v>Serviço</v>
      </c>
      <c r="O19" s="117" t="str">
        <f ca="1">IF(OR($C19=0,$L19=""),"-",CONCATENATE(E19&amp;".",IF(AND($A$5&gt;=2,$C19&gt;=2),F19&amp;".",""),IF(AND($A$5&gt;=3,$C19&gt;=3),G19&amp;".",""),IF(AND($A$5&gt;=4,$C19&gt;=4),H19&amp;".",""),IF($C19="S",I19&amp;".","")))</f>
        <v>1.1.2.</v>
      </c>
      <c r="P19" s="118" t="s">
        <v>1012</v>
      </c>
      <c r="Q19" s="119" t="s">
        <v>1022</v>
      </c>
      <c r="R19" s="120" t="s">
        <v>1023</v>
      </c>
      <c r="S19" s="121" t="s">
        <v>639</v>
      </c>
      <c r="T19" s="122">
        <f ca="1">OFFSET(CÁLCULO!H$15,ROW($T19)-ROW(T$15),0)</f>
        <v>2</v>
      </c>
      <c r="U19" s="123">
        <v>3262</v>
      </c>
      <c r="V19" s="124" t="s">
        <v>663</v>
      </c>
      <c r="W19" s="122" cm="1">
        <f t="array" aca="1" ref="W19" ca="1">IF($C19="S",ROUND(IF(TIPOORCAMENTO="Proposto",ORÇAMENTO.CustoUnitario*(1+$AH19),ORÇAMENTO.PrecoUnitarioLicitado),15-13*$AF$10),0)</f>
        <v>4055.64</v>
      </c>
      <c r="X19" s="125" cm="1">
        <f t="array" aca="1" ref="X19" ca="1">IF($C19="S",IF(OR(Import.TipoArredondamento&lt;&gt;"TransfereGOV",ACOMPANHAMENTO="BM"),VTOTAL1,SUM(OFFSET(CÁLCULO!$AA$15,ROW($X19)-ROW($X$15),1):OFFSET(CÁLCULO!$AL$15,ROW($X19)-ROW($X$15),-1))),IF($C19=0,0,ROUND(SomaAgrup,15-13*$AF$11)))</f>
        <v>8111.28</v>
      </c>
      <c r="Y19" s="126" t="s">
        <v>751</v>
      </c>
      <c r="Z19" t="str">
        <f ca="1">IF(AND($C19="S",$X19&gt;0),IF(ISBLANK($Y19),"RA",LEFT($Y19,2)),"")</f>
        <v>RA</v>
      </c>
      <c r="AA19" s="127" cm="1">
        <f t="array" aca="1" ref="AA19" ca="1">IF($C19="S",IF($Z19="CP",$X19,IF($Z19="RA",(($X19)*QCI!$AA$3),0)),SomaAgrup)</f>
        <v>912.35309238973559</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ACIMA REF.</v>
      </c>
      <c r="AD19" t="str">
        <f ca="1">IF(C19&lt;=CRONO.NivelExibicao,MAX($AD$15:OFFSET(AD19,-1,0))+IF($C19&lt;&gt;1,1,MAX(1,COUNTIF(QCI!$A$13:$A$15,OFFSET($E19,-1,0)))),"")</f>
        <v/>
      </c>
      <c r="AE19" s="7" t="str" cm="1">
        <f t="array" aca="1" ref="AE19" ca="1">IF(AND($C19="S",ORÇAMENTO.CodBarra&lt;&gt;""),IF(ORÇAMENTO.Fonte="",ORÇAMENTO.CodBarra,CONCATENATE(ORÇAMENTO.Fonte," ",ORÇAMENTO.CodBarra)))</f>
        <v>CDHU 01.17.031</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ca="1">ROUND(IF(ISNUMBER(ORÇAMENTO.OpcaoBDI),ORÇAMENTO.OpcaoBDI,IF(LEFT(ORÇAMENTO.OpcaoBDI,3)="BDI",HLOOKUP(ORÇAMENTO.OpcaoBDI,$F$4:$H$5,2,FALSE),0)),15-11*$AF$9)</f>
        <v>0.24329999999999999</v>
      </c>
      <c r="AJ19" s="431"/>
      <c r="AL19" s="439"/>
      <c r="AM19" s="336">
        <f t="shared" ca="1" si="0"/>
        <v>8111.28</v>
      </c>
      <c r="AN19" s="470" cm="1">
        <f t="array" aca="1" ref="AN19" ca="1">ROUND(ORÇAMENTO.CustoUnitario*(1+$AH19),2)</f>
        <v>4055.64</v>
      </c>
    </row>
    <row r="20" spans="1:40" ht="25.5" x14ac:dyDescent="0.2">
      <c r="A20" t="str">
        <f t="shared" si="1"/>
        <v>S</v>
      </c>
      <c r="B20">
        <f t="shared" ca="1" si="2"/>
        <v>2</v>
      </c>
      <c r="C20" t="str">
        <f t="shared" ca="1" si="3"/>
        <v>S</v>
      </c>
      <c r="D20">
        <f t="shared" ca="1" si="4"/>
        <v>0</v>
      </c>
      <c r="E20">
        <f ca="1">IF($C20=1,OFFSET(E20,-1,0)+MAX(1,COUNTIF(QCI!$A$13:$A$15,OFFSET(ORÇAMENTO!E20,-1,0))),OFFSET(E20,-1,0))</f>
        <v>1</v>
      </c>
      <c r="F20">
        <f t="shared" ca="1" si="5"/>
        <v>1</v>
      </c>
      <c r="G20">
        <f t="shared" ca="1" si="6"/>
        <v>0</v>
      </c>
      <c r="H20">
        <f t="shared" ca="1" si="7"/>
        <v>0</v>
      </c>
      <c r="I20">
        <f t="shared" ca="1" si="8"/>
        <v>3</v>
      </c>
      <c r="J20">
        <f t="shared" ca="1" si="9"/>
        <v>0</v>
      </c>
      <c r="K20">
        <f ca="1">IF(OR($C20="S",$C20=0),0,MATCH(OFFSET($D20,0,$C20)+IF($C20&lt;&gt;1,1,COUNTIF(QCI!$A$13:$A$15,ORÇAMENTO!E20)),OFFSET($D20,1,$C20,ROW($C$56)-ROW($C20)),0))</f>
        <v>0</v>
      </c>
      <c r="L20" s="114" t="str">
        <f t="shared" ca="1" si="10"/>
        <v>F</v>
      </c>
      <c r="M20" s="115" t="s">
        <v>705</v>
      </c>
      <c r="N20" s="116" t="str">
        <f t="shared" ca="1" si="11"/>
        <v>Serviço</v>
      </c>
      <c r="O20" s="117" t="str">
        <f t="shared" ca="1" si="12"/>
        <v>1.1.3.</v>
      </c>
      <c r="P20" s="118" t="s">
        <v>1012</v>
      </c>
      <c r="Q20" s="119" t="s">
        <v>1011</v>
      </c>
      <c r="R20" s="120" t="s">
        <v>1041</v>
      </c>
      <c r="S20" s="121" t="s">
        <v>639</v>
      </c>
      <c r="T20" s="122">
        <f ca="1">OFFSET(CÁLCULO!H$15,ROW($T20)-ROW(T$15),0)</f>
        <v>1</v>
      </c>
      <c r="U20" s="123">
        <v>1249.3399999999999</v>
      </c>
      <c r="V20" s="124" t="s">
        <v>663</v>
      </c>
      <c r="W20" s="122" cm="1">
        <f t="array" aca="1" ref="W20" ca="1">IF($C20="S",ROUND(IF(TIPOORCAMENTO="Proposto",ORÇAMENTO.CustoUnitario*(1+$AH20),ORÇAMENTO.PrecoUnitarioLicitado),15-13*$AF$10),0)</f>
        <v>1553.3</v>
      </c>
      <c r="X20" s="125" cm="1">
        <f t="array" aca="1" ref="X20" ca="1">IF($C20="S",IF(OR(Import.TipoArredondamento&lt;&gt;"TransfereGOV",ACOMPANHAMENTO="BM"),VTOTAL1,SUM(OFFSET(CÁLCULO!$AA$15,ROW($X20)-ROW($X$15),1):OFFSET(CÁLCULO!$AL$15,ROW($X20)-ROW($X$15),-1))),IF($C20=0,0,ROUND(SomaAgrup,15-13*$AF$11)))</f>
        <v>1553.3</v>
      </c>
      <c r="Y20" s="126" t="s">
        <v>751</v>
      </c>
      <c r="Z20" t="str">
        <f t="shared" ca="1" si="13"/>
        <v>RA</v>
      </c>
      <c r="AA20" s="127" cm="1">
        <f t="array" aca="1" ref="AA20" ca="1">IF($C20="S",IF($Z20="CP",$X20,IF($Z20="RA",(($X20)*QCI!$AA$3),0)),SomaAgrup)</f>
        <v>174.7144788996282</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ACIMA REF.</v>
      </c>
      <c r="AD20" t="str">
        <f ca="1">IF(C20&lt;=CRONO.NivelExibicao,MAX($AD$15:OFFSET(AD20,-1,0))+IF($C20&lt;&gt;1,1,MAX(1,COUNTIF(QCI!$A$13:$A$15,OFFSET($E20,-1,0)))),"")</f>
        <v/>
      </c>
      <c r="AE20" s="7" t="str" cm="1">
        <f t="array" aca="1" ref="AE20" ca="1">IF(AND($C20="S",ORÇAMENTO.CodBarra&lt;&gt;""),IF(ORÇAMENTO.Fonte="",ORÇAMENTO.CodBarra,CONCATENATE(ORÇAMENTO.Fonte," ",ORÇAMENTO.CodBarra)))</f>
        <v>CDHU 02.01.180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0.24329999999999999</v>
      </c>
      <c r="AJ20" s="431"/>
      <c r="AL20" s="439">
        <v>1150.49</v>
      </c>
      <c r="AM20" s="336">
        <f t="shared" ca="1" si="0"/>
        <v>1553.3</v>
      </c>
      <c r="AN20" s="470" cm="1">
        <f t="array" aca="1" ref="AN20" ca="1">ROUND(ORÇAMENTO.CustoUnitario*(1+$AH20),2)</f>
        <v>1553.3</v>
      </c>
    </row>
    <row r="21" spans="1:40" x14ac:dyDescent="0.2">
      <c r="A21">
        <f>CHOOSE(1+LOG(1+2*(ORÇAMENTO.Nivel="Meta")+4*(ORÇAMENTO.Nivel="Nível 2")+8*(ORÇAMENTO.Nivel="Nível 3")+16*(ORÇAMENTO.Nivel="Nível 4")+32*(ORÇAMENTO.Nivel="Serviço"),2),0,1,2,3,4,"S")</f>
        <v>2</v>
      </c>
      <c r="B21">
        <f ca="1">IF(OR(C21="s",C21=0),OFFSET(B21,-1,0),C21)</f>
        <v>2</v>
      </c>
      <c r="C21">
        <f ca="1">IF(OFFSET(C21,-1,0)="L",1,IF(OFFSET(C21,-1,0)=1,2,IF(OR(A21="s",A21=0),"S",IF(AND(OFFSET(C21,-1,0)=2,A21=4),3,IF(AND(OR(OFFSET(C21,-1,0)="s",OFFSET(C21,-1,0)=0),A21&lt;&gt;"s",A21&gt;OFFSET(B21,-1,0)),OFFSET(B21,-1,0),A21)))))</f>
        <v>2</v>
      </c>
      <c r="D21">
        <f ca="1">IF(OR(C21="S",C21=0),0,IF(ISERROR(K21),J21,SMALL(J21:K21,1)))</f>
        <v>2</v>
      </c>
      <c r="E21">
        <f ca="1">IF($C21=1,OFFSET(E21,-1,0)+MAX(1,COUNTIF(QCI!$A$13:$A$15,OFFSET(ORÇAMENTO!E21,-1,0))),OFFSET(E21,-1,0))</f>
        <v>1</v>
      </c>
      <c r="F21">
        <f ca="1">IF($C21=1,0,IF($C21=2,OFFSET(F21,-1,0)+1,OFFSET(F21,-1,0)))</f>
        <v>2</v>
      </c>
      <c r="G21">
        <f ca="1">IF(AND($C21&lt;=2,$C21&lt;&gt;0),0,IF($C21=3,OFFSET(G21,-1,0)+1,OFFSET(G21,-1,0)))</f>
        <v>0</v>
      </c>
      <c r="H21">
        <f ca="1">IF(AND($C21&lt;=3,$C21&lt;&gt;0),0,IF($C21=4,OFFSET(H21,-1,0)+1,OFFSET(H21,-1,0)))</f>
        <v>0</v>
      </c>
      <c r="I21">
        <f ca="1">IF(AND($C21&lt;=4,$C21&lt;&gt;0),0,IF(AND($C21="S",$X21&gt;0),OFFSET(I21,-1,0)+1,OFFSET(I21,-1,0)))</f>
        <v>0</v>
      </c>
      <c r="J21">
        <f ca="1">IF(OR($C21="S",$C21=0),0,MATCH(0,OFFSET($D21,1,$C21,ROW($C$56)-ROW($C21)),0))</f>
        <v>35</v>
      </c>
      <c r="K21">
        <f ca="1">IF(OR($C21="S",$C21=0),0,MATCH(OFFSET($D21,0,$C21)+IF($C21&lt;&gt;1,1,COUNTIF(QCI!$A$13:$A$15,ORÇAMENTO!E21)),OFFSET($D21,1,$C21,ROW($C$56)-ROW($C21)),0))</f>
        <v>2</v>
      </c>
      <c r="L21" s="114" t="str">
        <f ca="1">IF(OR($X21&gt;0,$C21=1,$C21=2,$C21=3,$C21=4),"F","")</f>
        <v>F</v>
      </c>
      <c r="M21" s="115" t="s">
        <v>702</v>
      </c>
      <c r="N21" s="116" t="str">
        <f ca="1">CHOOSE(1+LOG(1+2*(C21=1)+4*(C21=2)+8*(C21=3)+16*(C21=4)+32*(C21="S"),2),"","Meta","Nível 2","Nível 3","Nível 4","Serviço")</f>
        <v>Nível 2</v>
      </c>
      <c r="O21" s="117" t="str">
        <f ca="1">IF(OR($C21=0,$L21=""),"-",CONCATENATE(E21&amp;".",IF(AND($A$5&gt;=2,$C21&gt;=2),F21&amp;".",""),IF(AND($A$5&gt;=3,$C21&gt;=3),G21&amp;".",""),IF(AND($A$5&gt;=4,$C21&gt;=4),H21&amp;".",""),IF($C21="S",I21&amp;".","")))</f>
        <v>1.2.</v>
      </c>
      <c r="P21" s="118" t="s">
        <v>750</v>
      </c>
      <c r="Q21" s="119"/>
      <c r="R21" s="120" t="s">
        <v>1145</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1553.3</v>
      </c>
      <c r="Y21" s="126" t="s">
        <v>751</v>
      </c>
      <c r="Z21" t="str">
        <f ca="1">IF(AND($C21="S",$X21&gt;0),IF(ISBLANK($Y21),"RA",LEFT($Y21,2)),"")</f>
        <v/>
      </c>
      <c r="AA21" s="127" cm="1">
        <f t="array" aca="1" ref="AA21" ca="1">IF($C21="S",IF($Z21="CP",$X21,IF($Z21="RA",(($X21)*QCI!$AA$3),0)),SomaAgrup)</f>
        <v>174.7144788996282</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IF(C21&lt;=CRONO.NivelExibicao,MAX($AD$15:OFFSET(AD21,-1,0))+IF($C21&lt;&gt;1,1,MAX(1,COUNTIF(QCI!$A$13:$A$15,OFFSET($E21,-1,0)))),"")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ca="1">ROUND(IF(ISNUMBER(ORÇAMENTO.OpcaoBDI),ORÇAMENTO.OpcaoBDI,IF(LEFT(ORÇAMENTO.OpcaoBDI,3)="BDI",HLOOKUP(ORÇAMENTO.OpcaoBDI,$F$4:$H$5,2,FALSE),0)),15-11*$AF$9)</f>
        <v>0.24329999999999999</v>
      </c>
      <c r="AJ21" s="431"/>
      <c r="AL21" s="439"/>
      <c r="AM21" s="336">
        <f t="shared" ca="1" si="0"/>
        <v>1553.3</v>
      </c>
      <c r="AN21" s="470" cm="1">
        <f t="array" aca="1" ref="AN21" ca="1">ROUND(ORÇAMENTO.CustoUnitario*(1+$AH21),2)</f>
        <v>0</v>
      </c>
    </row>
    <row r="22" spans="1:40" ht="25.5"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IF($C22=1,OFFSET(E22,-1,0)+MAX(1,COUNTIF(QCI!$A$13:$A$15,OFFSET(ORÇAMENTO!E22,-1,0))),OFFSET(E22,-1,0))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1</v>
      </c>
      <c r="J22">
        <f ca="1">IF(OR($C22="S",$C22=0),0,MATCH(0,OFFSET($D22,1,$C22,ROW($C$56)-ROW($C22)),0))</f>
        <v>0</v>
      </c>
      <c r="K22">
        <f ca="1">IF(OR($C22="S",$C22=0),0,MATCH(OFFSET($D22,0,$C22)+IF($C22&lt;&gt;1,1,COUNTIF(QCI!$A$13:$A$15,ORÇAMENTO!E22)),OFFSET($D22,1,$C22,ROW($C$56)-ROW($C22)),0))</f>
        <v>0</v>
      </c>
      <c r="L22" s="114" t="str">
        <f ca="1">IF(OR($X22&gt;0,$C22=1,$C22=2,$C22=3,$C22=4),"F","")</f>
        <v>F</v>
      </c>
      <c r="M22" s="115" t="s">
        <v>705</v>
      </c>
      <c r="N22" s="116" t="str">
        <f ca="1">CHOOSE(1+LOG(1+2*(C22=1)+4*(C22=2)+8*(C22=3)+16*(C22=4)+32*(C22="S"),2),"","Meta","Nível 2","Nível 3","Nível 4","Serviço")</f>
        <v>Serviço</v>
      </c>
      <c r="O22" s="117" t="str">
        <f ca="1">IF(OR($C22=0,$L22=""),"-",CONCATENATE(E22&amp;".",IF(AND($A$5&gt;=2,$C22&gt;=2),F22&amp;".",""),IF(AND($A$5&gt;=3,$C22&gt;=3),G22&amp;".",""),IF(AND($A$5&gt;=4,$C22&gt;=4),H22&amp;".",""),IF($C22="S",I22&amp;".","")))</f>
        <v>1.2.1.</v>
      </c>
      <c r="P22" s="118" t="s">
        <v>1012</v>
      </c>
      <c r="Q22" s="119" t="s">
        <v>1011</v>
      </c>
      <c r="R22" s="120" t="s">
        <v>1146</v>
      </c>
      <c r="S22" s="121" t="s">
        <v>639</v>
      </c>
      <c r="T22" s="122">
        <f ca="1">OFFSET(CÁLCULO!H$15,ROW($T22)-ROW(T$15),0)</f>
        <v>1</v>
      </c>
      <c r="U22" s="123">
        <v>1249.3399999999999</v>
      </c>
      <c r="V22" s="124" t="s">
        <v>663</v>
      </c>
      <c r="W22" s="122" cm="1">
        <f t="array" aca="1" ref="W22" ca="1">IF($C22="S",ROUND(IF(TIPOORCAMENTO="Proposto",ORÇAMENTO.CustoUnitario*(1+$AH22),ORÇAMENTO.PrecoUnitarioLicitado),15-13*$AF$10),0)</f>
        <v>1553.3</v>
      </c>
      <c r="X22" s="125" cm="1">
        <f t="array" aca="1" ref="X22" ca="1">IF($C22="S",IF(OR(Import.TipoArredondamento&lt;&gt;"TransfereGOV",ACOMPANHAMENTO="BM"),VTOTAL1,SUM(OFFSET(CÁLCULO!$AA$15,ROW($X22)-ROW($X$15),1):OFFSET(CÁLCULO!$AL$15,ROW($X22)-ROW($X$15),-1))),IF($C22=0,0,ROUND(SomaAgrup,15-13*$AF$11)))</f>
        <v>1553.3</v>
      </c>
      <c r="Y22" s="126" t="s">
        <v>751</v>
      </c>
      <c r="Z22" t="str">
        <f ca="1">IF(AND($C22="S",$X22&gt;0),IF(ISBLANK($Y22),"RA",LEFT($Y22,2)),"")</f>
        <v>RA</v>
      </c>
      <c r="AA22" s="127" cm="1">
        <f t="array" aca="1" ref="AA22" ca="1">IF($C22="S",IF($Z22="CP",$X22,IF($Z22="RA",(($X22)*QCI!$AA$3),0)),SomaAgrup)</f>
        <v>174.7144788996282</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ACIMA REF.</v>
      </c>
      <c r="AD22" t="str">
        <f ca="1">IF(C22&lt;=CRONO.NivelExibicao,MAX($AD$15:OFFSET(AD22,-1,0))+IF($C22&lt;&gt;1,1,MAX(1,COUNTIF(QCI!$A$13:$A$15,OFFSET($E22,-1,0)))),"")</f>
        <v/>
      </c>
      <c r="AE22" s="7" t="str" cm="1">
        <f t="array" aca="1" ref="AE22" ca="1">IF(AND($C22="S",ORÇAMENTO.CodBarra&lt;&gt;""),IF(ORÇAMENTO.Fonte="",ORÇAMENTO.CodBarra,CONCATENATE(ORÇAMENTO.Fonte," ",ORÇAMENTO.CodBarra)))</f>
        <v>CDHU 02.01.180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ca="1">ROUND(IF(ISNUMBER(ORÇAMENTO.OpcaoBDI),ORÇAMENTO.OpcaoBDI,IF(LEFT(ORÇAMENTO.OpcaoBDI,3)="BDI",HLOOKUP(ORÇAMENTO.OpcaoBDI,$F$4:$H$5,2,FALSE),0)),15-11*$AF$9)</f>
        <v>0.24329999999999999</v>
      </c>
      <c r="AJ22" s="431"/>
      <c r="AL22" s="439"/>
      <c r="AM22" s="336">
        <f t="shared" ca="1" si="0"/>
        <v>1553.3</v>
      </c>
      <c r="AN22" s="470" cm="1">
        <f t="array" aca="1" ref="AN22" ca="1">ROUND(ORÇAMENTO.CustoUnitario*(1+$AH22),2)</f>
        <v>1553.3</v>
      </c>
    </row>
    <row r="23" spans="1:40" x14ac:dyDescent="0.2">
      <c r="A23">
        <f t="shared" si="1"/>
        <v>2</v>
      </c>
      <c r="B23">
        <f t="shared" ca="1" si="2"/>
        <v>2</v>
      </c>
      <c r="C23">
        <f t="shared" ca="1" si="3"/>
        <v>2</v>
      </c>
      <c r="D23">
        <f t="shared" ca="1" si="4"/>
        <v>10</v>
      </c>
      <c r="E23">
        <f ca="1">IF($C23=1,OFFSET(E23,-1,0)+MAX(1,COUNTIF(QCI!$A$13:$A$15,OFFSET(ORÇAMENTO!E23,-1,0))),OFFSET(E23,-1,0))</f>
        <v>1</v>
      </c>
      <c r="F23">
        <f t="shared" ca="1" si="5"/>
        <v>3</v>
      </c>
      <c r="G23">
        <f t="shared" ca="1" si="6"/>
        <v>0</v>
      </c>
      <c r="H23">
        <f t="shared" ca="1" si="7"/>
        <v>0</v>
      </c>
      <c r="I23">
        <f t="shared" ca="1" si="8"/>
        <v>0</v>
      </c>
      <c r="J23">
        <f t="shared" ca="1" si="9"/>
        <v>33</v>
      </c>
      <c r="K23">
        <f ca="1">IF(OR($C23="S",$C23=0),0,MATCH(OFFSET($D23,0,$C23)+IF($C23&lt;&gt;1,1,COUNTIF(QCI!$A$13:$A$15,ORÇAMENTO!E23)),OFFSET($D23,1,$C23,ROW($C$56)-ROW($C23)),0))</f>
        <v>10</v>
      </c>
      <c r="L23" s="114" t="str">
        <f t="shared" ca="1" si="10"/>
        <v>F</v>
      </c>
      <c r="M23" s="115" t="s">
        <v>702</v>
      </c>
      <c r="N23" s="116" t="str">
        <f t="shared" ca="1" si="11"/>
        <v>Nível 2</v>
      </c>
      <c r="O23" s="117" t="str">
        <f t="shared" ca="1" si="12"/>
        <v>1.3.</v>
      </c>
      <c r="P23" s="118" t="s">
        <v>750</v>
      </c>
      <c r="Q23" s="119"/>
      <c r="R23" s="120" t="s">
        <v>1024</v>
      </c>
      <c r="S23" s="121" t="str" cm="1">
        <f t="array" aca="1" ref="S23" ca="1">REFERENCIA.Unidade</f>
        <v>-</v>
      </c>
      <c r="T23" s="122">
        <f ca="1">OFFSET(CÁLCULO!H$15,ROW($T23)-ROW(T$15),0)</f>
        <v>0</v>
      </c>
      <c r="U23" s="123"/>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108695.09</v>
      </c>
      <c r="Y23" s="126" t="s">
        <v>751</v>
      </c>
      <c r="Z23" t="str">
        <f t="shared" ca="1" si="13"/>
        <v/>
      </c>
      <c r="AA23" s="127" cm="1">
        <f t="array" aca="1" ref="AA23" ca="1">IF($C23="S",IF($Z23="CP",$X23,IF($Z23="RA",(($X23)*QCI!$AA$3),0)),SomaAgrup)</f>
        <v>12225.974382474851</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f ca="1">IF(C23&lt;=CRONO.NivelExibicao,MAX($AD$15:OFFSET(AD23,-1,0))+IF($C23&lt;&gt;1,1,MAX(1,COUNTIF(QCI!$A$13:$A$15,OFFSET($E23,-1,0)))),"")</f>
        <v>4</v>
      </c>
      <c r="AE23" s="7" t="b" cm="1">
        <f t="array" aca="1" ref="AE23" ca="1">IF(AND($C23="S",ORÇAMENTO.CodBarra&lt;&gt;""),IF(ORÇAMENTO.Fonte="",ORÇAMENTO.CodBarra,CONCATENATE(ORÇAMENTO.Fonte," ",ORÇAMENTO.CodBarra)))</f>
        <v>0</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4"/>
        <v>0.24329999999999999</v>
      </c>
      <c r="AJ23" s="431"/>
      <c r="AL23" s="439"/>
      <c r="AM23" s="336">
        <f t="shared" ca="1" si="0"/>
        <v>108695.09</v>
      </c>
      <c r="AN23" s="470" cm="1">
        <f t="array" aca="1" ref="AN23" ca="1">ROUND(ORÇAMENTO.CustoUnitario*(1+$AH23),2)</f>
        <v>0</v>
      </c>
    </row>
    <row r="24" spans="1:40" ht="63.75" x14ac:dyDescent="0.2">
      <c r="A24" t="str">
        <f t="shared" si="1"/>
        <v>S</v>
      </c>
      <c r="B24">
        <f t="shared" ca="1" si="2"/>
        <v>2</v>
      </c>
      <c r="C24" t="str">
        <f t="shared" ca="1" si="3"/>
        <v>S</v>
      </c>
      <c r="D24">
        <f t="shared" ca="1" si="4"/>
        <v>0</v>
      </c>
      <c r="E24">
        <f ca="1">IF($C24=1,OFFSET(E24,-1,0)+MAX(1,COUNTIF(QCI!$A$13:$A$15,OFFSET(ORÇAMENTO!E24,-1,0))),OFFSET(E24,-1,0))</f>
        <v>1</v>
      </c>
      <c r="F24">
        <f t="shared" ca="1" si="5"/>
        <v>3</v>
      </c>
      <c r="G24">
        <f t="shared" ca="1" si="6"/>
        <v>0</v>
      </c>
      <c r="H24">
        <f t="shared" ca="1" si="7"/>
        <v>0</v>
      </c>
      <c r="I24">
        <f t="shared" ca="1" si="8"/>
        <v>1</v>
      </c>
      <c r="J24">
        <f t="shared" ca="1" si="9"/>
        <v>0</v>
      </c>
      <c r="K24">
        <f ca="1">IF(OR($C24="S",$C24=0),0,MATCH(OFFSET($D24,0,$C24)+IF($C24&lt;&gt;1,1,COUNTIF(QCI!$A$13:$A$15,ORÇAMENTO!E24)),OFFSET($D24,1,$C24,ROW($C$56)-ROW($C24)),0))</f>
        <v>0</v>
      </c>
      <c r="L24" s="114" t="str">
        <f t="shared" ca="1" si="10"/>
        <v>F</v>
      </c>
      <c r="M24" s="115" t="s">
        <v>705</v>
      </c>
      <c r="N24" s="116" t="str">
        <f t="shared" ca="1" si="11"/>
        <v>Serviço</v>
      </c>
      <c r="O24" s="117" t="str">
        <f t="shared" ca="1" si="12"/>
        <v>1.3.1.</v>
      </c>
      <c r="P24" s="118" t="s">
        <v>750</v>
      </c>
      <c r="Q24" s="119" t="s">
        <v>1025</v>
      </c>
      <c r="R24" s="120" t="str" cm="1">
        <f t="array" aca="1" ref="R24" ca="1">IF($C24="S",REFERENCIA.Descricao,"(digite a descrição aqui)")</f>
        <v>ESCAVAÇÃO VERTICAL PARA INFRAESTRUTURA, COM CARGA, DESCARGA E TRANSPORTE DE SOLO DE 1ª CATEGORIA, COM ESCAVADEIRA HIDRÁULICA (CAÇAMBA: 1,2 M³ / 155 HP), FROTA DE 3 CAMINHÕES BASCULANTES DE 14 M³, DMT ATÉ 1 KM E VELOCIDADE MÉDIA14 KM/H. AF_05/2020</v>
      </c>
      <c r="S24" s="121" t="str" cm="1">
        <f t="array" aca="1" ref="S24" ca="1">REFERENCIA.Unidade</f>
        <v>M3</v>
      </c>
      <c r="T24" s="122">
        <f ca="1">OFFSET(CÁLCULO!H$15,ROW($T24)-ROW(T$15),0)</f>
        <v>212.27</v>
      </c>
      <c r="U24" s="123">
        <v>10.09</v>
      </c>
      <c r="V24" s="124" t="s">
        <v>663</v>
      </c>
      <c r="W24" s="122" cm="1">
        <f t="array" aca="1" ref="W24" ca="1">IF($C24="S",ROUND(IF(TIPOORCAMENTO="Proposto",ORÇAMENTO.CustoUnitario*(1+$AH24),ORÇAMENTO.PrecoUnitarioLicitado),15-13*$AF$10),0)</f>
        <v>12.54</v>
      </c>
      <c r="X24" s="125" cm="1">
        <f t="array" aca="1" ref="X24" ca="1">IF($C24="S",IF(OR(Import.TipoArredondamento&lt;&gt;"TransfereGOV",ACOMPANHAMENTO="BM"),VTOTAL1,SUM(OFFSET(CÁLCULO!$AA$15,ROW($X24)-ROW($X$15),1):OFFSET(CÁLCULO!$AL$15,ROW($X24)-ROW($X$15),-1))),IF($C24=0,0,ROUND(SomaAgrup,15-13*$AF$11)))</f>
        <v>2661.87</v>
      </c>
      <c r="Y24" s="126" t="s">
        <v>751</v>
      </c>
      <c r="Z24" t="str">
        <f t="shared" ca="1" si="13"/>
        <v>RA</v>
      </c>
      <c r="AA24" s="127" cm="1">
        <f t="array" aca="1" ref="AA24" ca="1">IF($C24="S",IF($Z24="CP",$X24,IF($Z24="RA",(($X24)*QCI!$AA$3),0)),SomaAgrup)</f>
        <v>299.40592927866692</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IF(C24&lt;=CRONO.NivelExibicao,MAX($AD$15:OFFSET(AD24,-1,0))+IF($C24&lt;&gt;1,1,MAX(1,COUNTIF(QCI!$A$13:$A$15,OFFSET($E24,-1,0)))),"")</f>
        <v/>
      </c>
      <c r="AE24" s="7" t="str" cm="1">
        <f t="array" aca="1" ref="AE24" ca="1">IF(AND($C24="S",ORÇAMENTO.CodBarra&lt;&gt;""),IF(ORÇAMENTO.Fonte="",ORÇAMENTO.CodBarra,CONCATENATE(ORÇAMENTO.Fonte," ",ORÇAMENTO.CodBarra)))</f>
        <v>SINAPI 101232</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9439</v>
      </c>
      <c r="AG24" s="428" cm="1">
        <f t="array" aca="1" ref="AG24" ca="1">ROUND(IF(DESONERACAO="sim",REFERENCIA.Desonerado,REFERENCIA.NaoDesonerado),2)</f>
        <v>10.09</v>
      </c>
      <c r="AH24" s="429">
        <f t="shared" ca="1" si="14"/>
        <v>0.24329999999999999</v>
      </c>
      <c r="AJ24" s="431"/>
      <c r="AL24" s="439">
        <v>0.73</v>
      </c>
      <c r="AM24" s="336">
        <f t="shared" ca="1" si="0"/>
        <v>2661.87</v>
      </c>
      <c r="AN24" s="470" cm="1">
        <f t="array" aca="1" ref="AN24" ca="1">ROUND(ORÇAMENTO.CustoUnitario*(1+$AH24),2)</f>
        <v>12.54</v>
      </c>
    </row>
    <row r="25" spans="1:40" ht="38.25" x14ac:dyDescent="0.2">
      <c r="A25" t="str">
        <f t="shared" si="1"/>
        <v>S</v>
      </c>
      <c r="B25">
        <f t="shared" ca="1" si="2"/>
        <v>2</v>
      </c>
      <c r="C25" t="str">
        <f t="shared" ca="1" si="3"/>
        <v>S</v>
      </c>
      <c r="D25">
        <f t="shared" ca="1" si="4"/>
        <v>0</v>
      </c>
      <c r="E25">
        <f ca="1">IF($C25=1,OFFSET(E25,-1,0)+MAX(1,COUNTIF(QCI!$A$13:$A$15,OFFSET(ORÇAMENTO!E25,-1,0))),OFFSET(E25,-1,0))</f>
        <v>1</v>
      </c>
      <c r="F25">
        <f t="shared" ca="1" si="5"/>
        <v>3</v>
      </c>
      <c r="G25">
        <f t="shared" ca="1" si="6"/>
        <v>0</v>
      </c>
      <c r="H25">
        <f t="shared" ca="1" si="7"/>
        <v>0</v>
      </c>
      <c r="I25">
        <f t="shared" ca="1" si="8"/>
        <v>2</v>
      </c>
      <c r="J25">
        <f t="shared" ca="1" si="9"/>
        <v>0</v>
      </c>
      <c r="K25">
        <f ca="1">IF(OR($C25="S",$C25=0),0,MATCH(OFFSET($D25,0,$C25)+IF($C25&lt;&gt;1,1,COUNTIF(QCI!$A$13:$A$15,ORÇAMENTO!E25)),OFFSET($D25,1,$C25,ROW($C$56)-ROW($C25)),0))</f>
        <v>0</v>
      </c>
      <c r="L25" s="114" t="str">
        <f t="shared" ca="1" si="10"/>
        <v>F</v>
      </c>
      <c r="M25" s="115" t="s">
        <v>705</v>
      </c>
      <c r="N25" s="116" t="str">
        <f t="shared" ca="1" si="11"/>
        <v>Serviço</v>
      </c>
      <c r="O25" s="117" t="str">
        <f t="shared" ca="1" si="12"/>
        <v>1.3.2.</v>
      </c>
      <c r="P25" s="118" t="s">
        <v>750</v>
      </c>
      <c r="Q25" s="119" t="s">
        <v>1026</v>
      </c>
      <c r="R25" s="120" t="str" cm="1">
        <f t="array" aca="1" ref="R25" ca="1">IF($C25="S",REFERENCIA.Descricao,"(digite a descrição aqui)")</f>
        <v>CAIXA PARA BOCA DE LOBO DUPLA RETANGULAR, EM ALVENARIA COM BLOCOS DE CONCRETO, DIMENSÕES INTERNAS: 0,6X2,2X1,2 M. AF_12/2020</v>
      </c>
      <c r="S25" s="121" t="str" cm="1">
        <f t="array" aca="1" ref="S25" ca="1">REFERENCIA.Unidade</f>
        <v>UN</v>
      </c>
      <c r="T25" s="122">
        <f ca="1">OFFSET(CÁLCULO!H$15,ROW($T25)-ROW(T$15),0)</f>
        <v>6</v>
      </c>
      <c r="U25" s="123">
        <v>2829.29</v>
      </c>
      <c r="V25" s="124" t="s">
        <v>663</v>
      </c>
      <c r="W25" s="122" cm="1">
        <f t="array" aca="1" ref="W25" ca="1">IF($C25="S",ROUND(IF(TIPOORCAMENTO="Proposto",ORÇAMENTO.CustoUnitario*(1+$AH25),ORÇAMENTO.PrecoUnitarioLicitado),15-13*$AF$10),0)</f>
        <v>3517.66</v>
      </c>
      <c r="X25" s="125" cm="1">
        <f t="array" aca="1" ref="X25" ca="1">IF($C25="S",IF(OR(Import.TipoArredondamento&lt;&gt;"TransfereGOV",ACOMPANHAMENTO="BM"),VTOTAL1,SUM(OFFSET(CÁLCULO!$AA$15,ROW($X25)-ROW($X$15),1):OFFSET(CÁLCULO!$AL$15,ROW($X25)-ROW($X$15),-1))),IF($C25=0,0,ROUND(SomaAgrup,15-13*$AF$11)))</f>
        <v>21105.96</v>
      </c>
      <c r="Y25" s="126" t="s">
        <v>751</v>
      </c>
      <c r="Z25" t="str">
        <f t="shared" ca="1" si="13"/>
        <v>RA</v>
      </c>
      <c r="AA25" s="127" cm="1">
        <f t="array" aca="1" ref="AA25" ca="1">IF($C25="S",IF($Z25="CP",$X25,IF($Z25="RA",(($X25)*QCI!$AA$3),0)),SomaAgrup)</f>
        <v>2373.9888000234318</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IF(C25&lt;=CRONO.NivelExibicao,MAX($AD$15:OFFSET(AD25,-1,0))+IF($C25&lt;&gt;1,1,MAX(1,COUNTIF(QCI!$A$13:$A$15,OFFSET($E25,-1,0)))),"")</f>
        <v/>
      </c>
      <c r="AE25" s="7" t="str" cm="1">
        <f t="array" aca="1" ref="AE25" ca="1">IF(AND($C25="S",ORÇAMENTO.CodBarra&lt;&gt;""),IF(ORÇAMENTO.Fonte="",ORÇAMENTO.CodBarra,CONCATENATE(ORÇAMENTO.Fonte," ",ORÇAMENTO.CodBarra)))</f>
        <v>SINAPI 97957</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14628</v>
      </c>
      <c r="AG25" s="428" cm="1">
        <f t="array" aca="1" ref="AG25" ca="1">ROUND(IF(DESONERACAO="sim",REFERENCIA.Desonerado,REFERENCIA.NaoDesonerado),2)</f>
        <v>2829.29</v>
      </c>
      <c r="AH25" s="429">
        <f t="shared" ca="1" si="14"/>
        <v>0.24329999999999999</v>
      </c>
      <c r="AJ25" s="431"/>
      <c r="AL25" s="439">
        <v>6.1</v>
      </c>
      <c r="AM25" s="336">
        <f t="shared" ca="1" si="0"/>
        <v>21105.96</v>
      </c>
      <c r="AN25" s="470" cm="1">
        <f t="array" aca="1" ref="AN25" ca="1">ROUND(ORÇAMENTO.CustoUnitario*(1+$AH25),2)</f>
        <v>3517.66</v>
      </c>
    </row>
    <row r="26" spans="1:40" ht="38.25" x14ac:dyDescent="0.2">
      <c r="A26" t="str">
        <f t="shared" si="1"/>
        <v>S</v>
      </c>
      <c r="B26">
        <f t="shared" ca="1" si="2"/>
        <v>2</v>
      </c>
      <c r="C26" t="str">
        <f t="shared" ca="1" si="3"/>
        <v>S</v>
      </c>
      <c r="D26">
        <f t="shared" ca="1" si="4"/>
        <v>0</v>
      </c>
      <c r="E26">
        <f ca="1">IF($C26=1,OFFSET(E26,-1,0)+MAX(1,COUNTIF(QCI!$A$13:$A$15,OFFSET(ORÇAMENTO!E26,-1,0))),OFFSET(E26,-1,0))</f>
        <v>1</v>
      </c>
      <c r="F26">
        <f t="shared" ca="1" si="5"/>
        <v>3</v>
      </c>
      <c r="G26">
        <f t="shared" ca="1" si="6"/>
        <v>0</v>
      </c>
      <c r="H26">
        <f t="shared" ca="1" si="7"/>
        <v>0</v>
      </c>
      <c r="I26">
        <f t="shared" ca="1" si="8"/>
        <v>3</v>
      </c>
      <c r="J26">
        <f t="shared" ca="1" si="9"/>
        <v>0</v>
      </c>
      <c r="K26">
        <f ca="1">IF(OR($C26="S",$C26=0),0,MATCH(OFFSET($D26,0,$C26)+IF($C26&lt;&gt;1,1,COUNTIF(QCI!$A$13:$A$15,ORÇAMENTO!E26)),OFFSET($D26,1,$C26,ROW($C$56)-ROW($C26)),0))</f>
        <v>0</v>
      </c>
      <c r="L26" s="114" t="str">
        <f t="shared" ca="1" si="10"/>
        <v>F</v>
      </c>
      <c r="M26" s="115" t="s">
        <v>705</v>
      </c>
      <c r="N26" s="116" t="str">
        <f t="shared" ca="1" si="11"/>
        <v>Serviço</v>
      </c>
      <c r="O26" s="117" t="str">
        <f t="shared" ca="1" si="12"/>
        <v>1.3.3.</v>
      </c>
      <c r="P26" s="118" t="s">
        <v>750</v>
      </c>
      <c r="Q26" s="119" t="s">
        <v>1081</v>
      </c>
      <c r="R26" s="120" t="str" cm="1">
        <f t="array" aca="1" ref="R26" ca="1">IF($C26="S",REFERENCIA.Descricao,"(digite a descrição aqui)")</f>
        <v>BASE PARA POÇO DE VISITA RETANGULAR PARA DRENAGEM, EM ALVENARIA COM BLOCOS DE CONCRETO, DIMENSÕES INTERNAS = 1X1,5 M, PROFUNDIDADE = 1,40 M, EXCLUINDO TAMPÃO. AF_12/2020</v>
      </c>
      <c r="S26" s="121" t="str" cm="1">
        <f t="array" aca="1" ref="S26" ca="1">REFERENCIA.Unidade</f>
        <v>UN</v>
      </c>
      <c r="T26" s="122">
        <f ca="1">OFFSET(CÁLCULO!H$15,ROW($T26)-ROW(T$15),0)</f>
        <v>2</v>
      </c>
      <c r="U26" s="123">
        <v>3435.32</v>
      </c>
      <c r="V26" s="124" t="s">
        <v>663</v>
      </c>
      <c r="W26" s="122" cm="1">
        <f t="array" aca="1" ref="W26" ca="1">IF($C26="S",ROUND(IF(TIPOORCAMENTO="Proposto",ORÇAMENTO.CustoUnitario*(1+$AH26),ORÇAMENTO.PrecoUnitarioLicitado),15-13*$AF$10),0)</f>
        <v>4271.13</v>
      </c>
      <c r="X26" s="125" cm="1">
        <f t="array" aca="1" ref="X26" ca="1">IF($C26="S",IF(OR(Import.TipoArredondamento&lt;&gt;"TransfereGOV",ACOMPANHAMENTO="BM"),VTOTAL1,SUM(OFFSET(CÁLCULO!$AA$15,ROW($X26)-ROW($X$15),1):OFFSET(CÁLCULO!$AL$15,ROW($X26)-ROW($X$15),-1))),IF($C26=0,0,ROUND(SomaAgrup,15-13*$AF$11)))</f>
        <v>8542.26</v>
      </c>
      <c r="Y26" s="126" t="s">
        <v>751</v>
      </c>
      <c r="Z26" t="str">
        <f t="shared" ca="1" si="13"/>
        <v>RA</v>
      </c>
      <c r="AA26" s="127" cm="1">
        <f t="array" aca="1" ref="AA26" ca="1">IF($C26="S",IF($Z26="CP",$X26,IF($Z26="RA",(($X26)*QCI!$AA$3),0)),SomaAgrup)</f>
        <v>960.82952715195916</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IF(C26&lt;=CRONO.NivelExibicao,MAX($AD$15:OFFSET(AD26,-1,0))+IF($C26&lt;&gt;1,1,MAX(1,COUNTIF(QCI!$A$13:$A$15,OFFSET($E26,-1,0)))),"")</f>
        <v/>
      </c>
      <c r="AE26" s="7" t="str" cm="1">
        <f t="array" aca="1" ref="AE26" ca="1">IF(AND($C26="S",ORÇAMENTO.CodBarra&lt;&gt;""),IF(ORÇAMENTO.Fonte="",ORÇAMENTO.CodBarra,CONCATENATE(ORÇAMENTO.Fonte," ",ORÇAMENTO.CodBarra)))</f>
        <v>SINAPI 99259</v>
      </c>
      <c r="AF26" s="12"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14569</v>
      </c>
      <c r="AG26" s="428" cm="1">
        <f t="array" aca="1" ref="AG26" ca="1">ROUND(IF(DESONERACAO="sim",REFERENCIA.Desonerado,REFERENCIA.NaoDesonerado),2)</f>
        <v>3435.32</v>
      </c>
      <c r="AH26" s="429">
        <f t="shared" ca="1" si="14"/>
        <v>0.24329999999999999</v>
      </c>
      <c r="AJ26" s="431"/>
      <c r="AL26" s="439">
        <v>1381.9649999999999</v>
      </c>
      <c r="AM26" s="336">
        <f t="shared" ca="1" si="0"/>
        <v>8542.26</v>
      </c>
      <c r="AN26" s="470" cm="1">
        <f t="array" aca="1" ref="AN26" ca="1">ROUND(ORÇAMENTO.CustoUnitario*(1+$AH26),2)</f>
        <v>4271.13</v>
      </c>
    </row>
    <row r="27" spans="1:40" ht="51" x14ac:dyDescent="0.2">
      <c r="A27" t="str">
        <f t="shared" si="1"/>
        <v>S</v>
      </c>
      <c r="B27">
        <f t="shared" ca="1" si="2"/>
        <v>2</v>
      </c>
      <c r="C27" t="str">
        <f t="shared" ca="1" si="3"/>
        <v>S</v>
      </c>
      <c r="D27">
        <f t="shared" ca="1" si="4"/>
        <v>0</v>
      </c>
      <c r="E27">
        <f ca="1">IF($C27=1,OFFSET(E27,-1,0)+MAX(1,COUNTIF(QCI!$A$13:$A$15,OFFSET(ORÇAMENTO!E27,-1,0))),OFFSET(E27,-1,0))</f>
        <v>1</v>
      </c>
      <c r="F27">
        <f t="shared" ca="1" si="5"/>
        <v>3</v>
      </c>
      <c r="G27">
        <f t="shared" ca="1" si="6"/>
        <v>0</v>
      </c>
      <c r="H27">
        <f t="shared" ca="1" si="7"/>
        <v>0</v>
      </c>
      <c r="I27">
        <f t="shared" ca="1" si="8"/>
        <v>4</v>
      </c>
      <c r="J27">
        <f t="shared" ca="1" si="9"/>
        <v>0</v>
      </c>
      <c r="K27">
        <f ca="1">IF(OR($C27="S",$C27=0),0,MATCH(OFFSET($D27,0,$C27)+IF($C27&lt;&gt;1,1,COUNTIF(QCI!$A$13:$A$15,ORÇAMENTO!E27)),OFFSET($D27,1,$C27,ROW($C$56)-ROW($C27)),0))</f>
        <v>0</v>
      </c>
      <c r="L27" s="114" t="str">
        <f t="shared" ca="1" si="10"/>
        <v>F</v>
      </c>
      <c r="M27" s="115" t="s">
        <v>705</v>
      </c>
      <c r="N27" s="116" t="str">
        <f t="shared" ca="1" si="11"/>
        <v>Serviço</v>
      </c>
      <c r="O27" s="117" t="str">
        <f t="shared" ca="1" si="12"/>
        <v>1.3.4.</v>
      </c>
      <c r="P27" s="118" t="s">
        <v>750</v>
      </c>
      <c r="Q27" s="119" t="s">
        <v>1027</v>
      </c>
      <c r="R27" s="120" t="str" cm="1">
        <f t="array" aca="1" ref="R27" ca="1">IF($C27="S",REFERENCIA.Descricao,"(digite a descrição aqui)")</f>
        <v>TUBO DE CONCRETO PARA REDES COLETORAS DE ÁGUAS PLUVIAIS, DIÂMETRO DE 400 MM, JUNTA RÍGIDA, INSTALADO EM LOCAL COM ALTO NÍVEL DE INTERFERÊNCIAS - FORNECIMENTO E ASSENTAMENTO. AF_03/2024</v>
      </c>
      <c r="S27" s="121" t="str" cm="1">
        <f t="array" aca="1" ref="S27" ca="1">REFERENCIA.Unidade</f>
        <v>M</v>
      </c>
      <c r="T27" s="122">
        <f ca="1">OFFSET(CÁLCULO!H$15,ROW($T27)-ROW(T$15),0)</f>
        <v>120</v>
      </c>
      <c r="U27" s="123">
        <v>187.76</v>
      </c>
      <c r="V27" s="124" t="s">
        <v>663</v>
      </c>
      <c r="W27" s="122" cm="1">
        <f t="array" aca="1" ref="W27" ca="1">IF($C27="S",ROUND(IF(TIPOORCAMENTO="Proposto",ORÇAMENTO.CustoUnitario*(1+$AH27),ORÇAMENTO.PrecoUnitarioLicitado),15-13*$AF$10),0)</f>
        <v>233.44</v>
      </c>
      <c r="X27" s="125" cm="1">
        <f t="array" aca="1" ref="X27" ca="1">IF($C27="S",IF(OR(Import.TipoArredondamento&lt;&gt;"TransfereGOV",ACOMPANHAMENTO="BM"),VTOTAL1,SUM(OFFSET(CÁLCULO!$AA$15,ROW($X27)-ROW($X$15),1):OFFSET(CÁLCULO!$AL$15,ROW($X27)-ROW($X$15),-1))),IF($C27=0,0,ROUND(SomaAgrup,15-13*$AF$11)))</f>
        <v>28012.799999999999</v>
      </c>
      <c r="Y27" s="126" t="s">
        <v>751</v>
      </c>
      <c r="Z27" t="str">
        <f t="shared" ca="1" si="13"/>
        <v>RA</v>
      </c>
      <c r="AA27" s="127" cm="1">
        <f t="array" aca="1" ref="AA27" ca="1">IF($C27="S",IF($Z27="CP",$X27,IF($Z27="RA",(($X27)*QCI!$AA$3),0)),SomaAgrup)</f>
        <v>3150.8670279530706</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IF(C27&lt;=CRONO.NivelExibicao,MAX($AD$15:OFFSET(AD27,-1,0))+IF($C27&lt;&gt;1,1,MAX(1,COUNTIF(QCI!$A$13:$A$15,OFFSET($E27,-1,0)))),"")</f>
        <v/>
      </c>
      <c r="AE27" s="7" t="str" cm="1">
        <f t="array" aca="1" ref="AE27" ca="1">IF(AND($C27="S",ORÇAMENTO.CodBarra&lt;&gt;""),IF(ORÇAMENTO.Fonte="",ORÇAMENTO.CodBarra,CONCATENATE(ORÇAMENTO.Fonte," ",ORÇAMENTO.CodBarra)))</f>
        <v>SINAPI 92219</v>
      </c>
      <c r="AF27" s="12"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6719</v>
      </c>
      <c r="AG27" s="428" cm="1">
        <f t="array" aca="1" ref="AG27" ca="1">ROUND(IF(DESONERACAO="sim",REFERENCIA.Desonerado,REFERENCIA.NaoDesonerado),2)</f>
        <v>187.76</v>
      </c>
      <c r="AH27" s="429">
        <f t="shared" ca="1" si="14"/>
        <v>0.24329999999999999</v>
      </c>
      <c r="AJ27" s="431"/>
      <c r="AL27" s="439">
        <v>1.42</v>
      </c>
      <c r="AM27" s="336">
        <f t="shared" ca="1" si="0"/>
        <v>28012.799999999999</v>
      </c>
      <c r="AN27" s="470" cm="1">
        <f t="array" aca="1" ref="AN27" ca="1">ROUND(ORÇAMENTO.CustoUnitario*(1+$AH27),2)</f>
        <v>233.44</v>
      </c>
    </row>
    <row r="28" spans="1:40" ht="51" x14ac:dyDescent="0.2">
      <c r="A28" t="str">
        <f>CHOOSE(1+LOG(1+2*(ORÇAMENTO.Nivel="Meta")+4*(ORÇAMENTO.Nivel="Nível 2")+8*(ORÇAMENTO.Nivel="Nível 3")+16*(ORÇAMENTO.Nivel="Nível 4")+32*(ORÇAMENTO.Nivel="Serviço"),2),0,1,2,3,4,"S")</f>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IF($C28=1,OFFSET(E28,-1,0)+MAX(1,COUNTIF(QCI!$A$13:$A$15,OFFSET(ORÇAMENTO!E28,-1,0))),OFFSET(E28,-1,0))</f>
        <v>1</v>
      </c>
      <c r="F28">
        <f ca="1">IF($C28=1,0,IF($C28=2,OFFSET(F28,-1,0)+1,OFFSET(F28,-1,0)))</f>
        <v>3</v>
      </c>
      <c r="G28">
        <f ca="1">IF(AND($C28&lt;=2,$C28&lt;&gt;0),0,IF($C28=3,OFFSET(G28,-1,0)+1,OFFSET(G28,-1,0)))</f>
        <v>0</v>
      </c>
      <c r="H28">
        <f ca="1">IF(AND($C28&lt;=3,$C28&lt;&gt;0),0,IF($C28=4,OFFSET(H28,-1,0)+1,OFFSET(H28,-1,0)))</f>
        <v>0</v>
      </c>
      <c r="I28">
        <f ca="1">IF(AND($C28&lt;=4,$C28&lt;&gt;0),0,IF(AND($C28="S",$X28&gt;0),OFFSET(I28,-1,0)+1,OFFSET(I28,-1,0)))</f>
        <v>5</v>
      </c>
      <c r="J28">
        <f t="shared" ca="1" si="9"/>
        <v>0</v>
      </c>
      <c r="K28">
        <f ca="1">IF(OR($C28="S",$C28=0),0,MATCH(OFFSET($D28,0,$C28)+IF($C28&lt;&gt;1,1,COUNTIF(QCI!$A$13:$A$15,ORÇAMENTO!E28)),OFFSET($D28,1,$C28,ROW($C$56)-ROW($C28)),0))</f>
        <v>0</v>
      </c>
      <c r="L28" s="114" t="str">
        <f ca="1">IF(OR($X28&gt;0,$C28=1,$C28=2,$C28=3,$C28=4),"F","")</f>
        <v>F</v>
      </c>
      <c r="M28" s="115" t="s">
        <v>705</v>
      </c>
      <c r="N28" s="116" t="str">
        <f ca="1">CHOOSE(1+LOG(1+2*(C28=1)+4*(C28=2)+8*(C28=3)+16*(C28=4)+32*(C28="S"),2),"","Meta","Nível 2","Nível 3","Nível 4","Serviço")</f>
        <v>Serviço</v>
      </c>
      <c r="O28" s="117" t="str">
        <f ca="1">IF(OR($C28=0,$L28=""),"-",CONCATENATE(E28&amp;".",IF(AND($A$5&gt;=2,$C28&gt;=2),F28&amp;".",""),IF(AND($A$5&gt;=3,$C28&gt;=3),G28&amp;".",""),IF(AND($A$5&gt;=4,$C28&gt;=4),H28&amp;".",""),IF($C28="S",I28&amp;".","")))</f>
        <v>1.3.5.</v>
      </c>
      <c r="P28" s="118" t="s">
        <v>750</v>
      </c>
      <c r="Q28" s="119" t="s">
        <v>1028</v>
      </c>
      <c r="R28" s="120" t="str" cm="1">
        <f t="array" aca="1" ref="R28" ca="1">IF($C28="S",REFERENCIA.Descricao,"(digite a descrição aqui)")</f>
        <v>TUBO DE CONCRETO PARA REDES COLETORAS DE ÁGUAS PLUVIAIS, DIÂMETRO DE 600 MM, JUNTA RÍGIDA, INSTALADO EM LOCAL COM ALTO NÍVEL DE INTERFERÊNCIAS - FORNECIMENTO E ASSENTAMENTO. AF_03/2024</v>
      </c>
      <c r="S28" s="121" t="str" cm="1">
        <f t="array" aca="1" ref="S28" ca="1">REFERENCIA.Unidade</f>
        <v>M</v>
      </c>
      <c r="T28" s="122">
        <f ca="1">OFFSET(CÁLCULO!H$15,ROW($T28)-ROW(T$15),0)</f>
        <v>47.41</v>
      </c>
      <c r="U28" s="123">
        <v>347.38</v>
      </c>
      <c r="V28" s="124" t="s">
        <v>663</v>
      </c>
      <c r="W28" s="122" cm="1">
        <f t="array" aca="1" ref="W28" ca="1">IF($C28="S",ROUND(IF(TIPOORCAMENTO="Proposto",ORÇAMENTO.CustoUnitario*(1+$AH28),ORÇAMENTO.PrecoUnitarioLicitado),15-13*$AF$10),0)</f>
        <v>431.9</v>
      </c>
      <c r="X28" s="125" cm="1">
        <f t="array" aca="1" ref="X28" ca="1">IF($C28="S",IF(OR(Import.TipoArredondamento&lt;&gt;"TransfereGOV",ACOMPANHAMENTO="BM"),VTOTAL1,SUM(OFFSET(CÁLCULO!$AA$15,ROW($X28)-ROW($X$15),1):OFFSET(CÁLCULO!$AL$15,ROW($X28)-ROW($X$15),-1))),IF($C28=0,0,ROUND(SomaAgrup,15-13*$AF$11)))</f>
        <v>20476.38</v>
      </c>
      <c r="Y28" s="126" t="s">
        <v>751</v>
      </c>
      <c r="Z28" t="str">
        <f ca="1">IF(AND($C28="S",$X28&gt;0),IF(ISBLANK($Y28),"RA",LEFT($Y28,2)),"")</f>
        <v>RA</v>
      </c>
      <c r="AA28" s="127" cm="1">
        <f t="array" aca="1" ref="AA28" ca="1">IF($C28="S",IF($Z28="CP",$X28,IF($Z28="RA",(($X28)*QCI!$AA$3),0)),SomaAgrup)</f>
        <v>2303.1739274131005</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IF(C28&lt;=CRONO.NivelExibicao,MAX($AD$15:OFFSET(AD28,-1,0))+IF($C28&lt;&gt;1,1,MAX(1,COUNTIF(QCI!$A$13:$A$15,OFFSET($E28,-1,0)))),"")</f>
        <v/>
      </c>
      <c r="AE28" s="7" t="str" cm="1">
        <f t="array" aca="1" ref="AE28" ca="1">IF(AND($C28="S",ORÇAMENTO.CodBarra&lt;&gt;""),IF(ORÇAMENTO.Fonte="",ORÇAMENTO.CodBarra,CONCATENATE(ORÇAMENTO.Fonte," ",ORÇAMENTO.CodBarra)))</f>
        <v>SINAPI 92221</v>
      </c>
      <c r="AF28" s="12"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6723</v>
      </c>
      <c r="AG28" s="428" cm="1">
        <f t="array" aca="1" ref="AG28" ca="1">ROUND(IF(DESONERACAO="sim",REFERENCIA.Desonerado,REFERENCIA.NaoDesonerado),2)</f>
        <v>347.38</v>
      </c>
      <c r="AH28" s="429">
        <f ca="1">ROUND(IF(ISNUMBER(ORÇAMENTO.OpcaoBDI),ORÇAMENTO.OpcaoBDI,IF(LEFT(ORÇAMENTO.OpcaoBDI,3)="BDI",HLOOKUP(ORÇAMENTO.OpcaoBDI,$F$4:$H$5,2,FALSE),0)),15-11*$AF$9)</f>
        <v>0.24329999999999999</v>
      </c>
      <c r="AJ28" s="431"/>
      <c r="AL28" s="439"/>
      <c r="AM28" s="336">
        <f t="shared" ca="1" si="0"/>
        <v>20476.38</v>
      </c>
      <c r="AN28" s="470" cm="1">
        <f t="array" aca="1" ref="AN28" ca="1">ROUND(ORÇAMENTO.CustoUnitario*(1+$AH28),2)</f>
        <v>431.9</v>
      </c>
    </row>
    <row r="29" spans="1:40" ht="25.5" x14ac:dyDescent="0.2">
      <c r="A29" t="str">
        <f>CHOOSE(1+LOG(1+2*(ORÇAMENTO.Nivel="Meta")+4*(ORÇAMENTO.Nivel="Nível 2")+8*(ORÇAMENTO.Nivel="Nível 3")+16*(ORÇAMENTO.Nivel="Nível 4")+32*(ORÇAMENTO.Nivel="Serviço"),2),0,1,2,3,4,"S")</f>
        <v>S</v>
      </c>
      <c r="B29">
        <f t="shared" ref="B29:B32" ca="1" si="15">IF(OR(C29="s",C29=0),OFFSET(B29,-1,0),C29)</f>
        <v>2</v>
      </c>
      <c r="C29" t="str">
        <f t="shared" ref="C29:C32" ca="1" si="16">IF(OFFSET(C29,-1,0)="L",1,IF(OFFSET(C29,-1,0)=1,2,IF(OR(A29="s",A29=0),"S",IF(AND(OFFSET(C29,-1,0)=2,A29=4),3,IF(AND(OR(OFFSET(C29,-1,0)="s",OFFSET(C29,-1,0)=0),A29&lt;&gt;"s",A29&gt;OFFSET(B29,-1,0)),OFFSET(B29,-1,0),A29)))))</f>
        <v>S</v>
      </c>
      <c r="D29">
        <f t="shared" ref="D29:D32" ca="1" si="17">IF(OR(C29="S",C29=0),0,IF(ISERROR(K29),J29,SMALL(J29:K29,1)))</f>
        <v>0</v>
      </c>
      <c r="E29">
        <f ca="1">IF($C29=1,OFFSET(E29,-1,0)+MAX(1,COUNTIF(QCI!$A$13:$A$15,OFFSET(ORÇAMENTO!E29,-1,0))),OFFSET(E29,-1,0))</f>
        <v>1</v>
      </c>
      <c r="F29">
        <f t="shared" ref="F29:F32" ca="1" si="18">IF($C29=1,0,IF($C29=2,OFFSET(F29,-1,0)+1,OFFSET(F29,-1,0)))</f>
        <v>3</v>
      </c>
      <c r="G29">
        <f t="shared" ref="G29:G32" ca="1" si="19">IF(AND($C29&lt;=2,$C29&lt;&gt;0),0,IF($C29=3,OFFSET(G29,-1,0)+1,OFFSET(G29,-1,0)))</f>
        <v>0</v>
      </c>
      <c r="H29">
        <f t="shared" ref="H29:H32" ca="1" si="20">IF(AND($C29&lt;=3,$C29&lt;&gt;0),0,IF($C29=4,OFFSET(H29,-1,0)+1,OFFSET(H29,-1,0)))</f>
        <v>0</v>
      </c>
      <c r="I29">
        <f t="shared" ref="I29:I32" ca="1" si="21">IF(AND($C29&lt;=4,$C29&lt;&gt;0),0,IF(AND($C29="S",$X29&gt;0),OFFSET(I29,-1,0)+1,OFFSET(I29,-1,0)))</f>
        <v>6</v>
      </c>
      <c r="J29">
        <f t="shared" ca="1" si="9"/>
        <v>0</v>
      </c>
      <c r="K29">
        <f ca="1">IF(OR($C29="S",$C29=0),0,MATCH(OFFSET($D29,0,$C29)+IF($C29&lt;&gt;1,1,COUNTIF(QCI!$A$13:$A$15,ORÇAMENTO!E29)),OFFSET($D29,1,$C29,ROW($C$56)-ROW($C29)),0))</f>
        <v>0</v>
      </c>
      <c r="L29" s="114" t="str">
        <f t="shared" ref="L29:L32" ca="1" si="22">IF(OR($X29&gt;0,$C29=1,$C29=2,$C29=3,$C29=4),"F","")</f>
        <v>F</v>
      </c>
      <c r="M29" s="115" t="s">
        <v>705</v>
      </c>
      <c r="N29" s="116" t="str">
        <f t="shared" ref="N29:N32" ca="1" si="23">CHOOSE(1+LOG(1+2*(C29=1)+4*(C29=2)+8*(C29=3)+16*(C29=4)+32*(C29="S"),2),"","Meta","Nível 2","Nível 3","Nível 4","Serviço")</f>
        <v>Serviço</v>
      </c>
      <c r="O29" s="117" t="str">
        <f t="shared" ref="O29:O32" ca="1" si="24">IF(OR($C29=0,$L29=""),"-",CONCATENATE(E29&amp;".",IF(AND($A$5&gt;=2,$C29&gt;=2),F29&amp;".",""),IF(AND($A$5&gt;=3,$C29&gt;=3),G29&amp;".",""),IF(AND($A$5&gt;=4,$C29&gt;=4),H29&amp;".",""),IF($C29="S",I29&amp;".","")))</f>
        <v>1.3.6.</v>
      </c>
      <c r="P29" s="118" t="s">
        <v>750</v>
      </c>
      <c r="Q29" s="119" t="s">
        <v>1029</v>
      </c>
      <c r="R29" s="120" t="str" cm="1">
        <f t="array" aca="1" ref="R29" ca="1">IF($C29="S",REFERENCIA.Descricao,"(digite a descrição aqui)")</f>
        <v>REATERRO MANUAL DE VALAS, COM COMPACTADOR DE SOLOS DE PERCUSSÃO. AF_08/2023</v>
      </c>
      <c r="S29" s="121" t="str" cm="1">
        <f t="array" aca="1" ref="S29" ca="1">REFERENCIA.Unidade</f>
        <v>M3</v>
      </c>
      <c r="T29" s="122">
        <f ca="1">OFFSET(CÁLCULO!H$15,ROW($T29)-ROW(T$15),0)</f>
        <v>166.65</v>
      </c>
      <c r="U29" s="123">
        <v>33.950000000000003</v>
      </c>
      <c r="V29" s="124" t="s">
        <v>663</v>
      </c>
      <c r="W29" s="122" cm="1">
        <f t="array" aca="1" ref="W29" ca="1">IF($C29="S",ROUND(IF(TIPOORCAMENTO="Proposto",ORÇAMENTO.CustoUnitario*(1+$AH29),ORÇAMENTO.PrecoUnitarioLicitado),15-13*$AF$10),0)</f>
        <v>42.21</v>
      </c>
      <c r="X29" s="125" cm="1">
        <f t="array" aca="1" ref="X29" ca="1">IF($C29="S",IF(OR(Import.TipoArredondamento&lt;&gt;"TransfereGOV",ACOMPANHAMENTO="BM"),VTOTAL1,SUM(OFFSET(CÁLCULO!$AA$15,ROW($X29)-ROW($X$15),1):OFFSET(CÁLCULO!$AL$15,ROW($X29)-ROW($X$15),-1))),IF($C29=0,0,ROUND(SomaAgrup,15-13*$AF$11)))</f>
        <v>7034.3</v>
      </c>
      <c r="Y29" s="126" t="s">
        <v>751</v>
      </c>
      <c r="Z29" t="str">
        <f t="shared" ref="Z29:Z32" ca="1" si="25">IF(AND($C29="S",$X29&gt;0),IF(ISBLANK($Y29),"RA",LEFT($Y29,2)),"")</f>
        <v>RA</v>
      </c>
      <c r="AA29" s="127" cm="1">
        <f t="array" aca="1" ref="AA29" ca="1">IF($C29="S",IF($Z29="CP",$X29,IF($Z29="RA",(($X29)*QCI!$AA$3),0)),SomaAgrup)</f>
        <v>791.21487087082642</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IF(C29&lt;=CRONO.NivelExibicao,MAX($AD$15:OFFSET(AD29,-1,0))+IF($C29&lt;&gt;1,1,MAX(1,COUNTIF(QCI!$A$13:$A$15,OFFSET($E29,-1,0)))),"")</f>
        <v/>
      </c>
      <c r="AE29" s="7" t="str" cm="1">
        <f t="array" aca="1" ref="AE29" ca="1">IF(AND($C29="S",ORÇAMENTO.CodBarra&lt;&gt;""),IF(ORÇAMENTO.Fonte="",ORÇAMENTO.CodBarra,CONCATENATE(ORÇAMENTO.Fonte," ",ORÇAMENTO.CodBarra)))</f>
        <v>SINAPI 93382</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6746</v>
      </c>
      <c r="AG29" s="428" cm="1">
        <f t="array" aca="1" ref="AG29" ca="1">ROUND(IF(DESONERACAO="sim",REFERENCIA.Desonerado,REFERENCIA.NaoDesonerado),2)</f>
        <v>33.950000000000003</v>
      </c>
      <c r="AH29" s="429">
        <f ca="1">ROUND(IF(ISNUMBER(ORÇAMENTO.OpcaoBDI),ORÇAMENTO.OpcaoBDI,IF(LEFT(ORÇAMENTO.OpcaoBDI,3)="BDI",HLOOKUP(ORÇAMENTO.OpcaoBDI,$F$4:$H$5,2,FALSE),0)),15-11*$AF$9)</f>
        <v>0.24329999999999999</v>
      </c>
      <c r="AJ29" s="431"/>
      <c r="AL29" s="439"/>
      <c r="AM29" s="336">
        <f t="shared" ca="1" si="0"/>
        <v>7034.3</v>
      </c>
      <c r="AN29" s="470" cm="1">
        <f t="array" aca="1" ref="AN29" ca="1">ROUND(ORÇAMENTO.CustoUnitario*(1+$AH29),2)</f>
        <v>42.21</v>
      </c>
    </row>
    <row r="30" spans="1:40" ht="25.5" x14ac:dyDescent="0.2">
      <c r="A30" t="str">
        <f>CHOOSE(1+LOG(1+2*(ORÇAMENTO.Nivel="Meta")+4*(ORÇAMENTO.Nivel="Nível 2")+8*(ORÇAMENTO.Nivel="Nível 3")+16*(ORÇAMENTO.Nivel="Nível 4")+32*(ORÇAMENTO.Nivel="Serviço"),2),0,1,2,3,4,"S")</f>
        <v>S</v>
      </c>
      <c r="B30">
        <f t="shared" ca="1" si="15"/>
        <v>2</v>
      </c>
      <c r="C30" t="str">
        <f t="shared" ca="1" si="16"/>
        <v>S</v>
      </c>
      <c r="D30">
        <f t="shared" ca="1" si="17"/>
        <v>0</v>
      </c>
      <c r="E30">
        <f ca="1">IF($C30=1,OFFSET(E30,-1,0)+MAX(1,COUNTIF(QCI!$A$13:$A$15,OFFSET(ORÇAMENTO!E30,-1,0))),OFFSET(E30,-1,0))</f>
        <v>1</v>
      </c>
      <c r="F30">
        <f t="shared" ca="1" si="18"/>
        <v>3</v>
      </c>
      <c r="G30">
        <f t="shared" ca="1" si="19"/>
        <v>0</v>
      </c>
      <c r="H30">
        <f t="shared" ca="1" si="20"/>
        <v>0</v>
      </c>
      <c r="I30">
        <f t="shared" ca="1" si="21"/>
        <v>7</v>
      </c>
      <c r="J30">
        <f t="shared" ca="1" si="9"/>
        <v>0</v>
      </c>
      <c r="K30">
        <f ca="1">IF(OR($C30="S",$C30=0),0,MATCH(OFFSET($D30,0,$C30)+IF($C30&lt;&gt;1,1,COUNTIF(QCI!$A$13:$A$15,ORÇAMENTO!E30)),OFFSET($D30,1,$C30,ROW($C$56)-ROW($C30)),0))</f>
        <v>0</v>
      </c>
      <c r="L30" s="114" t="str">
        <f t="shared" ca="1" si="22"/>
        <v>F</v>
      </c>
      <c r="M30" s="115" t="s">
        <v>705</v>
      </c>
      <c r="N30" s="116" t="str">
        <f t="shared" ca="1" si="23"/>
        <v>Serviço</v>
      </c>
      <c r="O30" s="117" t="str">
        <f t="shared" ca="1" si="24"/>
        <v>1.3.7.</v>
      </c>
      <c r="P30" s="118" t="s">
        <v>750</v>
      </c>
      <c r="Q30" s="119" t="s">
        <v>1030</v>
      </c>
      <c r="R30" s="120" t="str" cm="1">
        <f t="array" aca="1" ref="R30" ca="1">IF($C30="S",REFERENCIA.Descricao,"(digite a descrição aqui)")</f>
        <v>LASTRO COM MATERIAL GRANULAR, APLICADO EM PISOS OU LAJES SOBRE SOLO, ESPESSURA DE *5 CM*. AF_01/2024</v>
      </c>
      <c r="S30" s="121" t="str" cm="1">
        <f t="array" aca="1" ref="S30" ca="1">REFERENCIA.Unidade</f>
        <v>M3</v>
      </c>
      <c r="T30" s="122">
        <f ca="1">OFFSET(CÁLCULO!H$15,ROW($T30)-ROW(T$15),0)</f>
        <v>7.84</v>
      </c>
      <c r="U30" s="123">
        <v>196.66</v>
      </c>
      <c r="V30" s="124" t="s">
        <v>663</v>
      </c>
      <c r="W30" s="122" cm="1">
        <f t="array" aca="1" ref="W30" ca="1">IF($C30="S",ROUND(IF(TIPOORCAMENTO="Proposto",ORÇAMENTO.CustoUnitario*(1+$AH30),ORÇAMENTO.PrecoUnitarioLicitado),15-13*$AF$10),0)</f>
        <v>244.51</v>
      </c>
      <c r="X30" s="125" cm="1">
        <f t="array" aca="1" ref="X30" ca="1">IF($C30="S",IF(OR(Import.TipoArredondamento&lt;&gt;"TransfereGOV",ACOMPANHAMENTO="BM"),VTOTAL1,SUM(OFFSET(CÁLCULO!$AA$15,ROW($X30)-ROW($X$15),1):OFFSET(CÁLCULO!$AL$15,ROW($X30)-ROW($X$15),-1))),IF($C30=0,0,ROUND(SomaAgrup,15-13*$AF$11)))</f>
        <v>1916.96</v>
      </c>
      <c r="Y30" s="126" t="s">
        <v>751</v>
      </c>
      <c r="Z30" t="str">
        <f t="shared" ca="1" si="25"/>
        <v>RA</v>
      </c>
      <c r="AA30" s="127" cm="1">
        <f t="array" aca="1" ref="AA30" ca="1">IF($C30="S",IF($Z30="CP",$X30,IF($Z30="RA",(($X30)*QCI!$AA$3),0)),SomaAgrup)</f>
        <v>215.61879062089184</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IF(C30&lt;=CRONO.NivelExibicao,MAX($AD$15:OFFSET(AD30,-1,0))+IF($C30&lt;&gt;1,1,MAX(1,COUNTIF(QCI!$A$13:$A$15,OFFSET($E30,-1,0)))),"")</f>
        <v/>
      </c>
      <c r="AE30" s="7" t="str" cm="1">
        <f t="array" aca="1" ref="AE30" ca="1">IF(AND($C30="S",ORÇAMENTO.CodBarra&lt;&gt;""),IF(ORÇAMENTO.Fonte="",ORÇAMENTO.CodBarra,CONCATENATE(ORÇAMENTO.Fonte," ",ORÇAMENTO.CodBarra)))</f>
        <v>SINAPI 96622</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12955</v>
      </c>
      <c r="AG30" s="428" cm="1">
        <f t="array" aca="1" ref="AG30" ca="1">ROUND(IF(DESONERACAO="sim",REFERENCIA.Desonerado,REFERENCIA.NaoDesonerado),2)</f>
        <v>196.66</v>
      </c>
      <c r="AH30" s="429">
        <f ca="1">ROUND(IF(ISNUMBER(ORÇAMENTO.OpcaoBDI),ORÇAMENTO.OpcaoBDI,IF(LEFT(ORÇAMENTO.OpcaoBDI,3)="BDI",HLOOKUP(ORÇAMENTO.OpcaoBDI,$F$4:$H$5,2,FALSE),0)),15-11*$AF$9)</f>
        <v>0.24329999999999999</v>
      </c>
      <c r="AJ30" s="431"/>
      <c r="AL30" s="439"/>
      <c r="AM30" s="336">
        <f t="shared" ca="1" si="0"/>
        <v>1916.96</v>
      </c>
      <c r="AN30" s="470" cm="1">
        <f t="array" aca="1" ref="AN30" ca="1">ROUND(ORÇAMENTO.CustoUnitario*(1+$AH30),2)</f>
        <v>244.51</v>
      </c>
    </row>
    <row r="31" spans="1:40" ht="25.5" x14ac:dyDescent="0.2">
      <c r="A31" t="str">
        <f>CHOOSE(1+LOG(1+2*(ORÇAMENTO.Nivel="Meta")+4*(ORÇAMENTO.Nivel="Nível 2")+8*(ORÇAMENTO.Nivel="Nível 3")+16*(ORÇAMENTO.Nivel="Nível 4")+32*(ORÇAMENTO.Nivel="Serviço"),2),0,1,2,3,4,"S")</f>
        <v>S</v>
      </c>
      <c r="B31">
        <f t="shared" ca="1" si="15"/>
        <v>2</v>
      </c>
      <c r="C31" t="str">
        <f t="shared" ca="1" si="16"/>
        <v>S</v>
      </c>
      <c r="D31">
        <f t="shared" ca="1" si="17"/>
        <v>0</v>
      </c>
      <c r="E31">
        <f ca="1">IF($C31=1,OFFSET(E31,-1,0)+MAX(1,COUNTIF(QCI!$A$13:$A$15,OFFSET(ORÇAMENTO!E31,-1,0))),OFFSET(E31,-1,0))</f>
        <v>1</v>
      </c>
      <c r="F31">
        <f t="shared" ca="1" si="18"/>
        <v>3</v>
      </c>
      <c r="G31">
        <f t="shared" ca="1" si="19"/>
        <v>0</v>
      </c>
      <c r="H31">
        <f t="shared" ca="1" si="20"/>
        <v>0</v>
      </c>
      <c r="I31">
        <f t="shared" ca="1" si="21"/>
        <v>8</v>
      </c>
      <c r="J31">
        <f t="shared" ca="1" si="9"/>
        <v>0</v>
      </c>
      <c r="K31">
        <f ca="1">IF(OR($C31="S",$C31=0),0,MATCH(OFFSET($D31,0,$C31)+IF($C31&lt;&gt;1,1,COUNTIF(QCI!$A$13:$A$15,ORÇAMENTO!E31)),OFFSET($D31,1,$C31,ROW($C$56)-ROW($C31)),0))</f>
        <v>0</v>
      </c>
      <c r="L31" s="114" t="str">
        <f t="shared" ca="1" si="22"/>
        <v>F</v>
      </c>
      <c r="M31" s="115" t="s">
        <v>705</v>
      </c>
      <c r="N31" s="116" t="str">
        <f t="shared" ca="1" si="23"/>
        <v>Serviço</v>
      </c>
      <c r="O31" s="117" t="str">
        <f t="shared" ca="1" si="24"/>
        <v>1.3.8.</v>
      </c>
      <c r="P31" s="118" t="s">
        <v>750</v>
      </c>
      <c r="Q31" s="119" t="s">
        <v>1031</v>
      </c>
      <c r="R31" s="120" t="str" cm="1">
        <f t="array" aca="1" ref="R31" ca="1">IF($C31="S",REFERENCIA.Descricao,"(digite a descrição aqui)")</f>
        <v>EXECUÇÃO DE SARJETÃO DE CONCRETO USINADO, MOLDADA IN LOCO EM TRECHO RETO, 100 CM BASE X 20 CM ALTURA. AF_01/2024</v>
      </c>
      <c r="S31" s="121" t="str" cm="1">
        <f t="array" aca="1" ref="S31" ca="1">REFERENCIA.Unidade</f>
        <v>M</v>
      </c>
      <c r="T31" s="122">
        <f ca="1">OFFSET(CÁLCULO!H$15,ROW($T31)-ROW(T$15),0)</f>
        <v>80.36</v>
      </c>
      <c r="U31" s="123">
        <v>167.7</v>
      </c>
      <c r="V31" s="124" t="s">
        <v>663</v>
      </c>
      <c r="W31" s="122" cm="1">
        <f t="array" aca="1" ref="W31" ca="1">IF($C31="S",ROUND(IF(TIPOORCAMENTO="Proposto",ORÇAMENTO.CustoUnitario*(1+$AH31),ORÇAMENTO.PrecoUnitarioLicitado),15-13*$AF$10),0)</f>
        <v>208.5</v>
      </c>
      <c r="X31" s="125" cm="1">
        <f t="array" aca="1" ref="X31" ca="1">IF($C31="S",IF(OR(Import.TipoArredondamento&lt;&gt;"TransfereGOV",ACOMPANHAMENTO="BM"),VTOTAL1,SUM(OFFSET(CÁLCULO!$AA$15,ROW($X31)-ROW($X$15),1):OFFSET(CÁLCULO!$AL$15,ROW($X31)-ROW($X$15),-1))),IF($C31=0,0,ROUND(SomaAgrup,15-13*$AF$11)))</f>
        <v>16755.060000000001</v>
      </c>
      <c r="Y31" s="126" t="s">
        <v>751</v>
      </c>
      <c r="Z31" t="str">
        <f t="shared" ca="1" si="25"/>
        <v>RA</v>
      </c>
      <c r="AA31" s="127" cm="1">
        <f t="array" aca="1" ref="AA31" ca="1">IF($C31="S",IF($Z31="CP",$X31,IF($Z31="RA",(($X31)*QCI!$AA$3),0)),SomaAgrup)</f>
        <v>1884.6015430580087</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IF(C31&lt;=CRONO.NivelExibicao,MAX($AD$15:OFFSET(AD31,-1,0))+IF($C31&lt;&gt;1,1,MAX(1,COUNTIF(QCI!$A$13:$A$15,OFFSET($E31,-1,0)))),"")</f>
        <v/>
      </c>
      <c r="AE31" s="7" t="str" cm="1">
        <f t="array" aca="1" ref="AE31" ca="1">IF(AND($C31="S",ORÇAMENTO.CodBarra&lt;&gt;""),IF(ORÇAMENTO.Fonte="",ORÇAMENTO.CodBarra,CONCATENATE(ORÇAMENTO.Fonte," ",ORÇAMENTO.CodBarra)))</f>
        <v>SINAPI 94293</v>
      </c>
      <c r="AF31" s="12"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10483</v>
      </c>
      <c r="AG31" s="428" cm="1">
        <f t="array" aca="1" ref="AG31" ca="1">ROUND(IF(DESONERACAO="sim",REFERENCIA.Desonerado,REFERENCIA.NaoDesonerado),2)</f>
        <v>167.7</v>
      </c>
      <c r="AH31" s="429">
        <f ca="1">ROUND(IF(ISNUMBER(ORÇAMENTO.OpcaoBDI),ORÇAMENTO.OpcaoBDI,IF(LEFT(ORÇAMENTO.OpcaoBDI,3)="BDI",HLOOKUP(ORÇAMENTO.OpcaoBDI,$F$4:$H$5,2,FALSE),0)),15-11*$AF$9)</f>
        <v>0.24329999999999999</v>
      </c>
      <c r="AJ31" s="431"/>
      <c r="AL31" s="439"/>
      <c r="AM31" s="336">
        <f t="shared" ca="1" si="0"/>
        <v>16755.060000000001</v>
      </c>
      <c r="AN31" s="470" cm="1">
        <f t="array" aca="1" ref="AN31" ca="1">ROUND(ORÇAMENTO.CustoUnitario*(1+$AH31),2)</f>
        <v>208.5</v>
      </c>
    </row>
    <row r="32" spans="1:40" ht="25.5" x14ac:dyDescent="0.2">
      <c r="A32" t="str">
        <f>CHOOSE(1+LOG(1+2*(ORÇAMENTO.Nivel="Meta")+4*(ORÇAMENTO.Nivel="Nível 2")+8*(ORÇAMENTO.Nivel="Nível 3")+16*(ORÇAMENTO.Nivel="Nível 4")+32*(ORÇAMENTO.Nivel="Serviço"),2),0,1,2,3,4,"S")</f>
        <v>S</v>
      </c>
      <c r="B32">
        <f t="shared" ca="1" si="15"/>
        <v>2</v>
      </c>
      <c r="C32" t="str">
        <f t="shared" ca="1" si="16"/>
        <v>S</v>
      </c>
      <c r="D32">
        <f t="shared" ca="1" si="17"/>
        <v>0</v>
      </c>
      <c r="E32">
        <f ca="1">IF($C32=1,OFFSET(E32,-1,0)+MAX(1,COUNTIF(QCI!$A$13:$A$15,OFFSET(ORÇAMENTO!E32,-1,0))),OFFSET(E32,-1,0))</f>
        <v>1</v>
      </c>
      <c r="F32">
        <f t="shared" ca="1" si="18"/>
        <v>3</v>
      </c>
      <c r="G32">
        <f t="shared" ca="1" si="19"/>
        <v>0</v>
      </c>
      <c r="H32">
        <f t="shared" ca="1" si="20"/>
        <v>0</v>
      </c>
      <c r="I32">
        <f t="shared" ca="1" si="21"/>
        <v>9</v>
      </c>
      <c r="J32">
        <f t="shared" ca="1" si="9"/>
        <v>0</v>
      </c>
      <c r="K32">
        <f ca="1">IF(OR($C32="S",$C32=0),0,MATCH(OFFSET($D32,0,$C32)+IF($C32&lt;&gt;1,1,COUNTIF(QCI!$A$13:$A$15,ORÇAMENTO!E32)),OFFSET($D32,1,$C32,ROW($C$56)-ROW($C32)),0))</f>
        <v>0</v>
      </c>
      <c r="L32" s="114" t="str">
        <f t="shared" ca="1" si="22"/>
        <v>F</v>
      </c>
      <c r="M32" s="115" t="s">
        <v>705</v>
      </c>
      <c r="N32" s="116" t="str">
        <f t="shared" ca="1" si="23"/>
        <v>Serviço</v>
      </c>
      <c r="O32" s="117" t="str">
        <f t="shared" ca="1" si="24"/>
        <v>1.3.9.</v>
      </c>
      <c r="P32" s="118" t="s">
        <v>750</v>
      </c>
      <c r="Q32" s="119" t="s">
        <v>1032</v>
      </c>
      <c r="R32" s="120" t="str" cm="1">
        <f t="array" aca="1" ref="R32" ca="1">IF($C32="S",REFERENCIA.Descricao,"(digite a descrição aqui)")</f>
        <v>ARMAÇÃO PARA EXECUÇÃO DE RADIER, PISO DE CONCRETO OU LAJE SOBRE SOLO, COM USO DE TELA Q-92. AF_09/2021</v>
      </c>
      <c r="S32" s="121" t="str" cm="1">
        <f t="array" aca="1" ref="S32" ca="1">REFERENCIA.Unidade</f>
        <v>KG</v>
      </c>
      <c r="T32" s="122">
        <f ca="1">OFFSET(CÁLCULO!H$15,ROW($T32)-ROW(T$15),0)</f>
        <v>118.93</v>
      </c>
      <c r="U32" s="123">
        <v>14.81</v>
      </c>
      <c r="V32" s="124" t="s">
        <v>663</v>
      </c>
      <c r="W32" s="122" cm="1">
        <f t="array" aca="1" ref="W32" ca="1">IF($C32="S",ROUND(IF(TIPOORCAMENTO="Proposto",ORÇAMENTO.CustoUnitario*(1+$AH32),ORÇAMENTO.PrecoUnitarioLicitado),15-13*$AF$10),0)</f>
        <v>18.41</v>
      </c>
      <c r="X32" s="125" cm="1">
        <f t="array" aca="1" ref="X32" ca="1">IF($C32="S",IF(OR(Import.TipoArredondamento&lt;&gt;"TransfereGOV",ACOMPANHAMENTO="BM"),VTOTAL1,SUM(OFFSET(CÁLCULO!$AA$15,ROW($X32)-ROW($X$15),1):OFFSET(CÁLCULO!$AL$15,ROW($X32)-ROW($X$15),-1))),IF($C32=0,0,ROUND(SomaAgrup,15-13*$AF$11)))</f>
        <v>2189.5</v>
      </c>
      <c r="Y32" s="126" t="s">
        <v>751</v>
      </c>
      <c r="Z32" t="str">
        <f t="shared" ca="1" si="25"/>
        <v>RA</v>
      </c>
      <c r="AA32" s="127" cm="1">
        <f t="array" aca="1" ref="AA32" ca="1">IF($C32="S",IF($Z32="CP",$X32,IF($Z32="RA",(($X32)*QCI!$AA$3),0)),SomaAgrup)</f>
        <v>246.27396610489666</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IF(C32&lt;=CRONO.NivelExibicao,MAX($AD$15:OFFSET(AD32,-1,0))+IF($C32&lt;&gt;1,1,MAX(1,COUNTIF(QCI!$A$13:$A$15,OFFSET($E32,-1,0)))),"")</f>
        <v/>
      </c>
      <c r="AE32" s="7" t="str" cm="1">
        <f t="array" aca="1" ref="AE32" ca="1">IF(AND($C32="S",ORÇAMENTO.CodBarra&lt;&gt;""),IF(ORÇAMENTO.Fonte="",ORÇAMENTO.CodBarra,CONCATENATE(ORÇAMENTO.Fonte," ",ORÇAMENTO.CodBarra)))</f>
        <v>SINAPI 97088</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14762</v>
      </c>
      <c r="AG32" s="428" cm="1">
        <f t="array" aca="1" ref="AG32" ca="1">ROUND(IF(DESONERACAO="sim",REFERENCIA.Desonerado,REFERENCIA.NaoDesonerado),2)</f>
        <v>14.81</v>
      </c>
      <c r="AH32" s="429">
        <f ca="1">ROUND(IF(ISNUMBER(ORÇAMENTO.OpcaoBDI),ORÇAMENTO.OpcaoBDI,IF(LEFT(ORÇAMENTO.OpcaoBDI,3)="BDI",HLOOKUP(ORÇAMENTO.OpcaoBDI,$F$4:$H$5,2,FALSE),0)),15-11*$AF$9)</f>
        <v>0.24329999999999999</v>
      </c>
      <c r="AJ32" s="431"/>
      <c r="AL32" s="439"/>
      <c r="AM32" s="336">
        <f t="shared" ca="1" si="0"/>
        <v>2189.5</v>
      </c>
      <c r="AN32" s="470" cm="1">
        <f t="array" aca="1" ref="AN32" ca="1">ROUND(ORÇAMENTO.CustoUnitario*(1+$AH32),2)</f>
        <v>18.41</v>
      </c>
    </row>
    <row r="33" spans="1:40" ht="25.5" x14ac:dyDescent="0.2">
      <c r="A33">
        <f t="shared" si="1"/>
        <v>2</v>
      </c>
      <c r="B33">
        <f t="shared" ca="1" si="2"/>
        <v>2</v>
      </c>
      <c r="C33">
        <f t="shared" ca="1" si="3"/>
        <v>2</v>
      </c>
      <c r="D33">
        <f t="shared" ca="1" si="4"/>
        <v>11</v>
      </c>
      <c r="E33">
        <f ca="1">IF($C33=1,OFFSET(E33,-1,0)+MAX(1,COUNTIF(QCI!$A$13:$A$15,OFFSET(ORÇAMENTO!E33,-1,0))),OFFSET(E33,-1,0))</f>
        <v>1</v>
      </c>
      <c r="F33">
        <f t="shared" ca="1" si="5"/>
        <v>4</v>
      </c>
      <c r="G33">
        <f t="shared" ca="1" si="6"/>
        <v>0</v>
      </c>
      <c r="H33">
        <f t="shared" ca="1" si="7"/>
        <v>0</v>
      </c>
      <c r="I33">
        <f t="shared" ca="1" si="8"/>
        <v>0</v>
      </c>
      <c r="J33">
        <f t="shared" ca="1" si="9"/>
        <v>23</v>
      </c>
      <c r="K33">
        <f ca="1">IF(OR($C33="S",$C33=0),0,MATCH(OFFSET($D33,0,$C33)+IF($C33&lt;&gt;1,1,COUNTIF(QCI!$A$13:$A$15,ORÇAMENTO!E33)),OFFSET($D33,1,$C33,ROW($C$56)-ROW($C33)),0))</f>
        <v>11</v>
      </c>
      <c r="L33" s="114" t="str">
        <f t="shared" ca="1" si="10"/>
        <v>F</v>
      </c>
      <c r="M33" s="115" t="s">
        <v>702</v>
      </c>
      <c r="N33" s="116" t="str">
        <f t="shared" ca="1" si="11"/>
        <v>Nível 2</v>
      </c>
      <c r="O33" s="117" t="str">
        <f t="shared" ca="1" si="12"/>
        <v>1.4.</v>
      </c>
      <c r="P33" s="118" t="s">
        <v>750</v>
      </c>
      <c r="Q33" s="119"/>
      <c r="R33" s="120" t="s">
        <v>1043</v>
      </c>
      <c r="S33" s="121" t="str" cm="1">
        <f t="array" aca="1" ref="S33" ca="1">REFERENCIA.Unidade</f>
        <v>-</v>
      </c>
      <c r="T33" s="122">
        <f ca="1">OFFSET(CÁLCULO!H$15,ROW($T33)-ROW(T$15),0)</f>
        <v>0</v>
      </c>
      <c r="U33" s="123"/>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579709.03</v>
      </c>
      <c r="Y33" s="126" t="s">
        <v>751</v>
      </c>
      <c r="Z33" t="str">
        <f t="shared" ca="1" si="13"/>
        <v/>
      </c>
      <c r="AA33" s="127" cm="1">
        <f t="array" aca="1" ref="AA33" ca="1">IF($C33="S",IF($Z33="CP",$X33,IF($Z33="RA",(($X33)*QCI!$AA$3),0)),SomaAgrup)</f>
        <v>65205.408543010955</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IF(C33&lt;=CRONO.NivelExibicao,MAX($AD$15:OFFSET(AD33,-1,0))+IF($C33&lt;&gt;1,1,MAX(1,COUNTIF(QCI!$A$13:$A$15,OFFSET($E33,-1,0)))),"")</f>
        <v>5</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ca="1" si="14"/>
        <v>0.24329999999999999</v>
      </c>
      <c r="AJ33" s="431"/>
      <c r="AL33" s="439"/>
      <c r="AM33" s="336">
        <f t="shared" ca="1" si="0"/>
        <v>579709.03</v>
      </c>
      <c r="AN33" s="470" cm="1">
        <f t="array" aca="1" ref="AN33" ca="1">ROUND(ORÇAMENTO.CustoUnitario*(1+$AH33),2)</f>
        <v>0</v>
      </c>
    </row>
    <row r="34" spans="1:40" ht="25.5" x14ac:dyDescent="0.2">
      <c r="A34" t="str">
        <f t="shared" si="1"/>
        <v>S</v>
      </c>
      <c r="B34">
        <f t="shared" ca="1" si="2"/>
        <v>2</v>
      </c>
      <c r="C34" t="str">
        <f t="shared" ca="1" si="3"/>
        <v>S</v>
      </c>
      <c r="D34">
        <f t="shared" ca="1" si="4"/>
        <v>0</v>
      </c>
      <c r="E34">
        <f ca="1">IF($C34=1,OFFSET(E34,-1,0)+MAX(1,COUNTIF(QCI!$A$13:$A$15,OFFSET(ORÇAMENTO!E34,-1,0))),OFFSET(E34,-1,0))</f>
        <v>1</v>
      </c>
      <c r="F34">
        <f t="shared" ca="1" si="5"/>
        <v>4</v>
      </c>
      <c r="G34">
        <f t="shared" ca="1" si="6"/>
        <v>0</v>
      </c>
      <c r="H34">
        <f t="shared" ca="1" si="7"/>
        <v>0</v>
      </c>
      <c r="I34">
        <f t="shared" ca="1" si="8"/>
        <v>1</v>
      </c>
      <c r="J34">
        <f t="shared" ca="1" si="9"/>
        <v>0</v>
      </c>
      <c r="K34">
        <f ca="1">IF(OR($C34="S",$C34=0),0,MATCH(OFFSET($D34,0,$C34)+IF($C34&lt;&gt;1,1,COUNTIF(QCI!$A$13:$A$15,ORÇAMENTO!E34)),OFFSET($D34,1,$C34,ROW($C$56)-ROW($C34)),0))</f>
        <v>0</v>
      </c>
      <c r="L34" s="114" t="str">
        <f t="shared" ca="1" si="10"/>
        <v>F</v>
      </c>
      <c r="M34" s="115" t="s">
        <v>705</v>
      </c>
      <c r="N34" s="116" t="str">
        <f t="shared" ca="1" si="11"/>
        <v>Serviço</v>
      </c>
      <c r="O34" s="117" t="str">
        <f t="shared" ca="1" si="12"/>
        <v>1.4.1.</v>
      </c>
      <c r="P34" s="118" t="s">
        <v>750</v>
      </c>
      <c r="Q34" s="119" t="s">
        <v>1033</v>
      </c>
      <c r="R34" s="120" t="str" cm="1">
        <f t="array" aca="1" ref="R34" ca="1">IF($C34="S",REFERENCIA.Descricao,"(digite a descrição aqui)")</f>
        <v>DEMOLIÇÃO PARCIAL DE PAVIMENTO ASFÁLTICO, DE FORMA MECANIZADA, SEM REAPROVEITAMENTO. AF_09/2023</v>
      </c>
      <c r="S34" s="121" t="str" cm="1">
        <f t="array" aca="1" ref="S34" ca="1">REFERENCIA.Unidade</f>
        <v>M2</v>
      </c>
      <c r="T34" s="122">
        <f ca="1">OFFSET(CÁLCULO!H$15,ROW($T34)-ROW(T$15),0)</f>
        <v>1857.89</v>
      </c>
      <c r="U34" s="123">
        <v>25.52</v>
      </c>
      <c r="V34" s="124" t="s">
        <v>663</v>
      </c>
      <c r="W34" s="122" cm="1">
        <f t="array" aca="1" ref="W34" ca="1">IF($C34="S",ROUND(IF(TIPOORCAMENTO="Proposto",ORÇAMENTO.CustoUnitario*(1+$AH34),ORÇAMENTO.PrecoUnitarioLicitado),15-13*$AF$10),0)</f>
        <v>31.73</v>
      </c>
      <c r="X34" s="125" cm="1">
        <f t="array" aca="1" ref="X34" ca="1">IF($C34="S",IF(OR(Import.TipoArredondamento&lt;&gt;"TransfereGOV",ACOMPANHAMENTO="BM"),VTOTAL1,SUM(OFFSET(CÁLCULO!$AA$15,ROW($X34)-ROW($X$15),1):OFFSET(CÁLCULO!$AL$15,ROW($X34)-ROW($X$15),-1))),IF($C34=0,0,ROUND(SomaAgrup,15-13*$AF$11)))</f>
        <v>58950.85</v>
      </c>
      <c r="Y34" s="126" t="s">
        <v>751</v>
      </c>
      <c r="Z34" t="str">
        <f t="shared" ca="1" si="13"/>
        <v>RA</v>
      </c>
      <c r="AA34" s="127" cm="1">
        <f t="array" aca="1" ref="AA34" ca="1">IF($C34="S",IF($Z34="CP",$X34,IF($Z34="RA",(($X34)*QCI!$AA$3),0)),SomaAgrup)</f>
        <v>6630.7648480268763</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IF(C34&lt;=CRONO.NivelExibicao,MAX($AD$15:OFFSET(AD34,-1,0))+IF($C34&lt;&gt;1,1,MAX(1,COUNTIF(QCI!$A$13:$A$15,OFFSET($E34,-1,0)))),"")</f>
        <v/>
      </c>
      <c r="AE34" s="7" t="str" cm="1">
        <f t="array" aca="1" ref="AE34" ca="1">IF(AND($C34="S",ORÇAMENTO.CodBarra&lt;&gt;""),IF(ORÇAMENTO.Fonte="",ORÇAMENTO.CodBarra,CONCATENATE(ORÇAMENTO.Fonte," ",ORÇAMENTO.CodBarra)))</f>
        <v>SINAPI 97636</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7934</v>
      </c>
      <c r="AG34" s="428" cm="1">
        <f t="array" aca="1" ref="AG34" ca="1">ROUND(IF(DESONERACAO="sim",REFERENCIA.Desonerado,REFERENCIA.NaoDesonerado),2)</f>
        <v>25.52</v>
      </c>
      <c r="AH34" s="429">
        <f t="shared" ca="1" si="14"/>
        <v>0.24329999999999999</v>
      </c>
      <c r="AJ34" s="431"/>
      <c r="AL34" s="439">
        <v>0.73</v>
      </c>
      <c r="AM34" s="336">
        <f t="shared" ca="1" si="0"/>
        <v>58950.85</v>
      </c>
      <c r="AN34" s="470" cm="1">
        <f t="array" aca="1" ref="AN34" ca="1">ROUND(ORÇAMENTO.CustoUnitario*(1+$AH34),2)</f>
        <v>31.73</v>
      </c>
    </row>
    <row r="35" spans="1:40" ht="63.75" x14ac:dyDescent="0.2">
      <c r="A35" t="str">
        <f t="shared" si="1"/>
        <v>S</v>
      </c>
      <c r="B35">
        <f t="shared" ca="1" si="2"/>
        <v>2</v>
      </c>
      <c r="C35" t="str">
        <f t="shared" ca="1" si="3"/>
        <v>S</v>
      </c>
      <c r="D35">
        <f t="shared" ca="1" si="4"/>
        <v>0</v>
      </c>
      <c r="E35">
        <f ca="1">IF($C35=1,OFFSET(E35,-1,0)+MAX(1,COUNTIF(QCI!$A$13:$A$15,OFFSET(ORÇAMENTO!E35,-1,0))),OFFSET(E35,-1,0))</f>
        <v>1</v>
      </c>
      <c r="F35">
        <f t="shared" ca="1" si="5"/>
        <v>4</v>
      </c>
      <c r="G35">
        <f t="shared" ca="1" si="6"/>
        <v>0</v>
      </c>
      <c r="H35">
        <f t="shared" ca="1" si="7"/>
        <v>0</v>
      </c>
      <c r="I35">
        <f t="shared" ca="1" si="8"/>
        <v>2</v>
      </c>
      <c r="J35">
        <f t="shared" ca="1" si="9"/>
        <v>0</v>
      </c>
      <c r="K35">
        <f ca="1">IF(OR($C35="S",$C35=0),0,MATCH(OFFSET($D35,0,$C35)+IF($C35&lt;&gt;1,1,COUNTIF(QCI!$A$13:$A$15,ORÇAMENTO!E35)),OFFSET($D35,1,$C35,ROW($C$56)-ROW($C35)),0))</f>
        <v>0</v>
      </c>
      <c r="L35" s="114" t="str">
        <f t="shared" ca="1" si="10"/>
        <v>F</v>
      </c>
      <c r="M35" s="115" t="s">
        <v>705</v>
      </c>
      <c r="N35" s="116" t="str">
        <f t="shared" ca="1" si="11"/>
        <v>Serviço</v>
      </c>
      <c r="O35" s="117" t="str">
        <f t="shared" ca="1" si="12"/>
        <v>1.4.2.</v>
      </c>
      <c r="P35" s="118" t="s">
        <v>750</v>
      </c>
      <c r="Q35" s="119" t="s">
        <v>1025</v>
      </c>
      <c r="R35" s="120" t="str" cm="1">
        <f t="array" aca="1" ref="R35" ca="1">IF($C35="S",REFERENCIA.Descricao,"(digite a descrição aqui)")</f>
        <v>ESCAVAÇÃO VERTICAL PARA INFRAESTRUTURA, COM CARGA, DESCARGA E TRANSPORTE DE SOLO DE 1ª CATEGORIA, COM ESCAVADEIRA HIDRÁULICA (CAÇAMBA: 1,2 M³ / 155 HP), FROTA DE 3 CAMINHÕES BASCULANTES DE 14 M³, DMT ATÉ 1 KM E VELOCIDADE MÉDIA14 KM/H. AF_05/2020</v>
      </c>
      <c r="S35" s="121" t="str" cm="1">
        <f t="array" aca="1" ref="S35" ca="1">REFERENCIA.Unidade</f>
        <v>M3</v>
      </c>
      <c r="T35" s="122">
        <f ca="1">OFFSET(CÁLCULO!H$15,ROW($T35)-ROW(T$15),0)</f>
        <v>306.55</v>
      </c>
      <c r="U35" s="123">
        <v>10.09</v>
      </c>
      <c r="V35" s="124" t="s">
        <v>663</v>
      </c>
      <c r="W35" s="122" cm="1">
        <f t="array" aca="1" ref="W35" ca="1">IF($C35="S",ROUND(IF(TIPOORCAMENTO="Proposto",ORÇAMENTO.CustoUnitario*(1+$AH35),ORÇAMENTO.PrecoUnitarioLicitado),15-13*$AF$10),0)</f>
        <v>12.54</v>
      </c>
      <c r="X35" s="125" cm="1">
        <f t="array" aca="1" ref="X35" ca="1">IF($C35="S",IF(OR(Import.TipoArredondamento&lt;&gt;"TransfereGOV",ACOMPANHAMENTO="BM"),VTOTAL1,SUM(OFFSET(CÁLCULO!$AA$15,ROW($X35)-ROW($X$15),1):OFFSET(CÁLCULO!$AL$15,ROW($X35)-ROW($X$15),-1))),IF($C35=0,0,ROUND(SomaAgrup,15-13*$AF$11)))</f>
        <v>3844.14</v>
      </c>
      <c r="Y35" s="126" t="s">
        <v>751</v>
      </c>
      <c r="Z35" t="str">
        <f t="shared" ca="1" si="13"/>
        <v>RA</v>
      </c>
      <c r="AA35" s="127" cm="1">
        <f t="array" aca="1" ref="AA35" ca="1">IF($C35="S",IF($Z35="CP",$X35,IF($Z35="RA",(($X35)*QCI!$AA$3),0)),SomaAgrup)</f>
        <v>432.38712220254735</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IF(C35&lt;=CRONO.NivelExibicao,MAX($AD$15:OFFSET(AD35,-1,0))+IF($C35&lt;&gt;1,1,MAX(1,COUNTIF(QCI!$A$13:$A$15,OFFSET($E35,-1,0)))),"")</f>
        <v/>
      </c>
      <c r="AE35" s="7" t="str" cm="1">
        <f t="array" aca="1" ref="AE35" ca="1">IF(AND($C35="S",ORÇAMENTO.CodBarra&lt;&gt;""),IF(ORÇAMENTO.Fonte="",ORÇAMENTO.CodBarra,CONCATENATE(ORÇAMENTO.Fonte," ",ORÇAMENTO.CodBarra)))</f>
        <v>SINAPI 101232</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9439</v>
      </c>
      <c r="AG35" s="428" cm="1">
        <f t="array" aca="1" ref="AG35" ca="1">ROUND(IF(DESONERACAO="sim",REFERENCIA.Desonerado,REFERENCIA.NaoDesonerado),2)</f>
        <v>10.09</v>
      </c>
      <c r="AH35" s="429">
        <f t="shared" ca="1" si="14"/>
        <v>0.24329999999999999</v>
      </c>
      <c r="AJ35" s="431"/>
      <c r="AL35" s="439">
        <v>6.1</v>
      </c>
      <c r="AM35" s="336">
        <f t="shared" ca="1" si="0"/>
        <v>3844.14</v>
      </c>
      <c r="AN35" s="470" cm="1">
        <f t="array" aca="1" ref="AN35" ca="1">ROUND(ORÇAMENTO.CustoUnitario*(1+$AH35),2)</f>
        <v>12.54</v>
      </c>
    </row>
    <row r="36" spans="1:40" ht="38.25" x14ac:dyDescent="0.2">
      <c r="A36" t="str">
        <f>CHOOSE(1+LOG(1+2*(ORÇAMENTO.Nivel="Meta")+4*(ORÇAMENTO.Nivel="Nível 2")+8*(ORÇAMENTO.Nivel="Nível 3")+16*(ORÇAMENTO.Nivel="Nível 4")+32*(ORÇAMENTO.Nivel="Serviço"),2),0,1,2,3,4,"S")</f>
        <v>S</v>
      </c>
      <c r="B36">
        <f ca="1">IF(OR(C36="s",C36=0),OFFSET(B36,-1,0),C36)</f>
        <v>2</v>
      </c>
      <c r="C36" t="str">
        <f ca="1">IF(OFFSET(C36,-1,0)="L",1,IF(OFFSET(C36,-1,0)=1,2,IF(OR(A36="s",A36=0),"S",IF(AND(OFFSET(C36,-1,0)=2,A36=4),3,IF(AND(OR(OFFSET(C36,-1,0)="s",OFFSET(C36,-1,0)=0),A36&lt;&gt;"s",A36&gt;OFFSET(B36,-1,0)),OFFSET(B36,-1,0),A36)))))</f>
        <v>S</v>
      </c>
      <c r="D36">
        <f ca="1">IF(OR(C36="S",C36=0),0,IF(ISERROR(K36),J36,SMALL(J36:K36,1)))</f>
        <v>0</v>
      </c>
      <c r="E36">
        <f ca="1">IF($C36=1,OFFSET(E36,-1,0)+MAX(1,COUNTIF(QCI!$A$13:$A$15,OFFSET(ORÇAMENTO!E36,-1,0))),OFFSET(E36,-1,0))</f>
        <v>1</v>
      </c>
      <c r="F36">
        <f ca="1">IF($C36=1,0,IF($C36=2,OFFSET(F36,-1,0)+1,OFFSET(F36,-1,0)))</f>
        <v>4</v>
      </c>
      <c r="G36">
        <f ca="1">IF(AND($C36&lt;=2,$C36&lt;&gt;0),0,IF($C36=3,OFFSET(G36,-1,0)+1,OFFSET(G36,-1,0)))</f>
        <v>0</v>
      </c>
      <c r="H36">
        <f ca="1">IF(AND($C36&lt;=3,$C36&lt;&gt;0),0,IF($C36=4,OFFSET(H36,-1,0)+1,OFFSET(H36,-1,0)))</f>
        <v>0</v>
      </c>
      <c r="I36">
        <f ca="1">IF(AND($C36&lt;=4,$C36&lt;&gt;0),0,IF(AND($C36="S",$X36&gt;0),OFFSET(I36,-1,0)+1,OFFSET(I36,-1,0)))</f>
        <v>3</v>
      </c>
      <c r="J36">
        <f t="shared" ca="1" si="9"/>
        <v>0</v>
      </c>
      <c r="K36">
        <f ca="1">IF(OR($C36="S",$C36=0),0,MATCH(OFFSET($D36,0,$C36)+IF($C36&lt;&gt;1,1,COUNTIF(QCI!$A$13:$A$15,ORÇAMENTO!E36)),OFFSET($D36,1,$C36,ROW($C$56)-ROW($C36)),0))</f>
        <v>0</v>
      </c>
      <c r="L36" s="114" t="str">
        <f ca="1">IF(OR($X36&gt;0,$C36=1,$C36=2,$C36=3,$C36=4),"F","")</f>
        <v>F</v>
      </c>
      <c r="M36" s="115" t="s">
        <v>705</v>
      </c>
      <c r="N36" s="116" t="str">
        <f ca="1">CHOOSE(1+LOG(1+2*(C36=1)+4*(C36=2)+8*(C36=3)+16*(C36=4)+32*(C36="S"),2),"","Meta","Nível 2","Nível 3","Nível 4","Serviço")</f>
        <v>Serviço</v>
      </c>
      <c r="O36" s="117" t="str">
        <f ca="1">IF(OR($C36=0,$L36=""),"-",CONCATENATE(E36&amp;".",IF(AND($A$5&gt;=2,$C36&gt;=2),F36&amp;".",""),IF(AND($A$5&gt;=3,$C36&gt;=3),G36&amp;".",""),IF(AND($A$5&gt;=4,$C36&gt;=4),H36&amp;".",""),IF($C36="S",I36&amp;".","")))</f>
        <v>1.4.3.</v>
      </c>
      <c r="P36" s="118" t="s">
        <v>750</v>
      </c>
      <c r="Q36" s="119" t="s">
        <v>1071</v>
      </c>
      <c r="R36" s="120" t="str" cm="1">
        <f t="array" aca="1" ref="R36" ca="1">IF($C36="S",REFERENCIA.Descricao,"(digite a descrição aqui)")</f>
        <v>REGULARIZAÇÃO E COMPACTAÇÃO DE SUBLEITO DE SOLO PREDOMINANTEMENTE ARGILOSO, PARA OBRAS DE CONSTRUÇÃO DE PAVIMENTOS. AF_09/2024</v>
      </c>
      <c r="S36" s="121" t="str" cm="1">
        <f t="array" aca="1" ref="S36" ca="1">REFERENCIA.Unidade</f>
        <v>M2</v>
      </c>
      <c r="T36" s="122">
        <f ca="1">OFFSET(CÁLCULO!H$15,ROW($T36)-ROW(T$15),0)</f>
        <v>1857.89</v>
      </c>
      <c r="U36" s="123">
        <v>3.08</v>
      </c>
      <c r="V36" s="124" t="s">
        <v>663</v>
      </c>
      <c r="W36" s="122" cm="1">
        <f t="array" aca="1" ref="W36" ca="1">IF($C36="S",ROUND(IF(TIPOORCAMENTO="Proposto",ORÇAMENTO.CustoUnitario*(1+$AH36),ORÇAMENTO.PrecoUnitarioLicitado),15-13*$AF$10),0)</f>
        <v>3.83</v>
      </c>
      <c r="X36" s="125" cm="1">
        <f t="array" aca="1" ref="X36" ca="1">IF($C36="S",IF(OR(Import.TipoArredondamento&lt;&gt;"TransfereGOV",ACOMPANHAMENTO="BM"),VTOTAL1,SUM(OFFSET(CÁLCULO!$AA$15,ROW($X36)-ROW($X$15),1):OFFSET(CÁLCULO!$AL$15,ROW($X36)-ROW($X$15),-1))),IF($C36=0,0,ROUND(SomaAgrup,15-13*$AF$11)))</f>
        <v>7115.72</v>
      </c>
      <c r="Y36" s="126" t="s">
        <v>751</v>
      </c>
      <c r="Z36" t="str">
        <f ca="1">IF(AND($C36="S",$X36&gt;0),IF(ISBLANK($Y36),"RA",LEFT($Y36,2)),"")</f>
        <v>RA</v>
      </c>
      <c r="AA36" s="127" cm="1">
        <f t="array" aca="1" ref="AA36" ca="1">IF($C36="S",IF($Z36="CP",$X36,IF($Z36="RA",(($X36)*QCI!$AA$3),0)),SomaAgrup)</f>
        <v>800.37295551127431</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IF(C36&lt;=CRONO.NivelExibicao,MAX($AD$15:OFFSET(AD36,-1,0))+IF($C36&lt;&gt;1,1,MAX(1,COUNTIF(QCI!$A$13:$A$15,OFFSET($E36,-1,0)))),"")</f>
        <v/>
      </c>
      <c r="AE36" s="7" t="str" cm="1">
        <f t="array" aca="1" ref="AE36" ca="1">IF(AND($C36="S",ORÇAMENTO.CodBarra&lt;&gt;""),IF(ORÇAMENTO.Fonte="",ORÇAMENTO.CodBarra,CONCATENATE(ORÇAMENTO.Fonte," ",ORÇAMENTO.CodBarra)))</f>
        <v>SINAPI 100576</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6998</v>
      </c>
      <c r="AG36" s="428" cm="1">
        <f t="array" aca="1" ref="AG36" ca="1">ROUND(IF(DESONERACAO="sim",REFERENCIA.Desonerado,REFERENCIA.NaoDesonerado),2)</f>
        <v>3.08</v>
      </c>
      <c r="AH36" s="429">
        <f ca="1">ROUND(IF(ISNUMBER(ORÇAMENTO.OpcaoBDI),ORÇAMENTO.OpcaoBDI,IF(LEFT(ORÇAMENTO.OpcaoBDI,3)="BDI",HLOOKUP(ORÇAMENTO.OpcaoBDI,$F$4:$H$5,2,FALSE),0)),15-11*$AF$9)</f>
        <v>0.24329999999999999</v>
      </c>
      <c r="AJ36" s="431"/>
      <c r="AL36" s="439"/>
      <c r="AM36" s="336">
        <f t="shared" ca="1" si="0"/>
        <v>7115.72</v>
      </c>
      <c r="AN36" s="470" cm="1">
        <f t="array" aca="1" ref="AN36" ca="1">ROUND(ORÇAMENTO.CustoUnitario*(1+$AH36),2)</f>
        <v>3.83</v>
      </c>
    </row>
    <row r="37" spans="1:40" ht="51" x14ac:dyDescent="0.2">
      <c r="A37" t="str">
        <f t="shared" si="1"/>
        <v>S</v>
      </c>
      <c r="B37">
        <f t="shared" ca="1" si="2"/>
        <v>2</v>
      </c>
      <c r="C37" t="str">
        <f t="shared" ca="1" si="3"/>
        <v>S</v>
      </c>
      <c r="D37">
        <f t="shared" ca="1" si="4"/>
        <v>0</v>
      </c>
      <c r="E37">
        <f ca="1">IF($C37=1,OFFSET(E37,-1,0)+MAX(1,COUNTIF(QCI!$A$13:$A$15,OFFSET(ORÇAMENTO!E37,-1,0))),OFFSET(E37,-1,0))</f>
        <v>1</v>
      </c>
      <c r="F37">
        <f t="shared" ca="1" si="5"/>
        <v>4</v>
      </c>
      <c r="G37">
        <f t="shared" ca="1" si="6"/>
        <v>0</v>
      </c>
      <c r="H37">
        <f t="shared" ca="1" si="7"/>
        <v>0</v>
      </c>
      <c r="I37">
        <f t="shared" ca="1" si="8"/>
        <v>4</v>
      </c>
      <c r="J37">
        <f t="shared" ca="1" si="9"/>
        <v>0</v>
      </c>
      <c r="K37">
        <f ca="1">IF(OR($C37="S",$C37=0),0,MATCH(OFFSET($D37,0,$C37)+IF($C37&lt;&gt;1,1,COUNTIF(QCI!$A$13:$A$15,ORÇAMENTO!E37)),OFFSET($D37,1,$C37,ROW($C$56)-ROW($C37)),0))</f>
        <v>0</v>
      </c>
      <c r="L37" s="114" t="str">
        <f t="shared" ca="1" si="10"/>
        <v>F</v>
      </c>
      <c r="M37" s="115" t="s">
        <v>705</v>
      </c>
      <c r="N37" s="116" t="str">
        <f t="shared" ca="1" si="11"/>
        <v>Serviço</v>
      </c>
      <c r="O37" s="117" t="str">
        <f t="shared" ca="1" si="12"/>
        <v>1.4.4.</v>
      </c>
      <c r="P37" s="118" t="s">
        <v>750</v>
      </c>
      <c r="Q37" s="119" t="s">
        <v>1034</v>
      </c>
      <c r="R37" s="120" t="str" cm="1">
        <f t="array" aca="1" ref="R37" ca="1">IF($C37="S",REFERENCIA.Descricao,"(digite a descrição aqui)")</f>
        <v>CONSTRUÇÃO DE BASE E SUB-BASE PARA PAVIMENTAÇÃO DE BRITA GRADUADA SIMPLES TRATADA COM CIMENTO, COM ESPESSURA DE 15 CM - EXCLUSIVE CARGA E TRANSPORTE. AF_09/2024</v>
      </c>
      <c r="S37" s="121" t="str" cm="1">
        <f t="array" aca="1" ref="S37" ca="1">REFERENCIA.Unidade</f>
        <v>M3</v>
      </c>
      <c r="T37" s="122">
        <f ca="1">OFFSET(CÁLCULO!H$15,ROW($T37)-ROW(T$15),0)</f>
        <v>306.55</v>
      </c>
      <c r="U37" s="123">
        <v>201.77</v>
      </c>
      <c r="V37" s="124" t="s">
        <v>663</v>
      </c>
      <c r="W37" s="122" cm="1">
        <f t="array" aca="1" ref="W37" ca="1">IF($C37="S",ROUND(IF(TIPOORCAMENTO="Proposto",ORÇAMENTO.CustoUnitario*(1+$AH37),ORÇAMENTO.PrecoUnitarioLicitado),15-13*$AF$10),0)</f>
        <v>250.86</v>
      </c>
      <c r="X37" s="125" cm="1">
        <f t="array" aca="1" ref="X37" ca="1">IF($C37="S",IF(OR(Import.TipoArredondamento&lt;&gt;"TransfereGOV",ACOMPANHAMENTO="BM"),VTOTAL1,SUM(OFFSET(CÁLCULO!$AA$15,ROW($X37)-ROW($X$15),1):OFFSET(CÁLCULO!$AL$15,ROW($X37)-ROW($X$15),-1))),IF($C37=0,0,ROUND(SomaAgrup,15-13*$AF$11)))</f>
        <v>76901.13</v>
      </c>
      <c r="Y37" s="126" t="s">
        <v>751</v>
      </c>
      <c r="Z37" t="str">
        <f t="shared" ca="1" si="13"/>
        <v>RA</v>
      </c>
      <c r="AA37" s="127" cm="1">
        <f t="array" aca="1" ref="AA37" ca="1">IF($C37="S",IF($Z37="CP",$X37,IF($Z37="RA",(($X37)*QCI!$AA$3),0)),SomaAgrup)</f>
        <v>8649.8041941302818</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IF(C37&lt;=CRONO.NivelExibicao,MAX($AD$15:OFFSET(AD37,-1,0))+IF($C37&lt;&gt;1,1,MAX(1,COUNTIF(QCI!$A$13:$A$15,OFFSET($E37,-1,0)))),"")</f>
        <v/>
      </c>
      <c r="AE37" s="7" t="str" cm="1">
        <f t="array" aca="1" ref="AE37" ca="1">IF(AND($C37="S",ORÇAMENTO.CodBarra&lt;&gt;""),IF(ORÇAMENTO.Fonte="",ORÇAMENTO.CodBarra,CONCATENATE(ORÇAMENTO.Fonte," ",ORÇAMENTO.CodBarra)))</f>
        <v>SINAPI 96397</v>
      </c>
      <c r="AF37" s="1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6769</v>
      </c>
      <c r="AG37" s="428" cm="1">
        <f t="array" aca="1" ref="AG37" ca="1">ROUND(IF(DESONERACAO="sim",REFERENCIA.Desonerado,REFERENCIA.NaoDesonerado),2)</f>
        <v>201.77</v>
      </c>
      <c r="AH37" s="429">
        <f t="shared" ca="1" si="14"/>
        <v>0.24329999999999999</v>
      </c>
      <c r="AJ37" s="431"/>
      <c r="AL37" s="439">
        <v>1381.98</v>
      </c>
      <c r="AM37" s="336">
        <f t="shared" ca="1" si="0"/>
        <v>76901.13</v>
      </c>
      <c r="AN37" s="470" cm="1">
        <f t="array" aca="1" ref="AN37" ca="1">ROUND(ORÇAMENTO.CustoUnitario*(1+$AH37),2)</f>
        <v>250.86</v>
      </c>
    </row>
    <row r="38" spans="1:40" ht="38.25" x14ac:dyDescent="0.2">
      <c r="A38" t="str">
        <f t="shared" si="1"/>
        <v>S</v>
      </c>
      <c r="B38">
        <f t="shared" ca="1" si="2"/>
        <v>2</v>
      </c>
      <c r="C38" t="str">
        <f t="shared" ca="1" si="3"/>
        <v>S</v>
      </c>
      <c r="D38">
        <f t="shared" ca="1" si="4"/>
        <v>0</v>
      </c>
      <c r="E38">
        <f ca="1">IF($C38=1,OFFSET(E38,-1,0)+MAX(1,COUNTIF(QCI!$A$13:$A$15,OFFSET(ORÇAMENTO!E38,-1,0))),OFFSET(E38,-1,0))</f>
        <v>1</v>
      </c>
      <c r="F38">
        <f t="shared" ca="1" si="5"/>
        <v>4</v>
      </c>
      <c r="G38">
        <f t="shared" ca="1" si="6"/>
        <v>0</v>
      </c>
      <c r="H38">
        <f t="shared" ca="1" si="7"/>
        <v>0</v>
      </c>
      <c r="I38">
        <f t="shared" ca="1" si="8"/>
        <v>5</v>
      </c>
      <c r="J38">
        <f t="shared" ca="1" si="9"/>
        <v>0</v>
      </c>
      <c r="K38">
        <f ca="1">IF(OR($C38="S",$C38=0),0,MATCH(OFFSET($D38,0,$C38)+IF($C38&lt;&gt;1,1,COUNTIF(QCI!$A$13:$A$15,ORÇAMENTO!E38)),OFFSET($D38,1,$C38,ROW($C$56)-ROW($C38)),0))</f>
        <v>0</v>
      </c>
      <c r="L38" s="114" t="str">
        <f t="shared" ca="1" si="10"/>
        <v>F</v>
      </c>
      <c r="M38" s="115" t="s">
        <v>705</v>
      </c>
      <c r="N38" s="116" t="str">
        <f t="shared" ca="1" si="11"/>
        <v>Serviço</v>
      </c>
      <c r="O38" s="117" t="str">
        <f t="shared" ca="1" si="12"/>
        <v>1.4.5.</v>
      </c>
      <c r="P38" s="118" t="s">
        <v>750</v>
      </c>
      <c r="Q38" s="119" t="s">
        <v>1035</v>
      </c>
      <c r="R38" s="120" t="str" cm="1">
        <f t="array" aca="1" ref="R38" ca="1">IF($C38="S",REFERENCIA.Descricao,"(digite a descrição aqui)")</f>
        <v>TRANSPORTE COM CAMINHÃO BASCULANTE DE 14 M³, EM VIA URBANA PAVIMENTADA, DMT ATÉ 30 KM (UNIDADE: M3XKM). AF_07/2020</v>
      </c>
      <c r="S38" s="121" t="str" cm="1">
        <f t="array" aca="1" ref="S38" ca="1">REFERENCIA.Unidade</f>
        <v>M3XKM</v>
      </c>
      <c r="T38" s="122">
        <f ca="1">OFFSET(CÁLCULO!H$15,ROW($T38)-ROW(T$15),0)</f>
        <v>9196.56</v>
      </c>
      <c r="U38" s="123">
        <v>2.2400000000000002</v>
      </c>
      <c r="V38" s="124" t="s">
        <v>663</v>
      </c>
      <c r="W38" s="122" cm="1">
        <f t="array" aca="1" ref="W38" ca="1">IF($C38="S",ROUND(IF(TIPOORCAMENTO="Proposto",ORÇAMENTO.CustoUnitario*(1+$AH38),ORÇAMENTO.PrecoUnitarioLicitado),15-13*$AF$10),0)</f>
        <v>2.78</v>
      </c>
      <c r="X38" s="125" cm="1">
        <f t="array" aca="1" ref="X38" ca="1">IF($C38="S",IF(OR(Import.TipoArredondamento&lt;&gt;"TransfereGOV",ACOMPANHAMENTO="BM"),VTOTAL1,SUM(OFFSET(CÁLCULO!$AA$15,ROW($X38)-ROW($X$15),1):OFFSET(CÁLCULO!$AL$15,ROW($X38)-ROW($X$15),-1))),IF($C38=0,0,ROUND(SomaAgrup,15-13*$AF$11)))</f>
        <v>25566.44</v>
      </c>
      <c r="Y38" s="126" t="s">
        <v>751</v>
      </c>
      <c r="Z38" t="str">
        <f t="shared" ca="1" si="13"/>
        <v>RA</v>
      </c>
      <c r="AA38" s="127" cm="1">
        <f t="array" aca="1" ref="AA38" ca="1">IF($C38="S",IF($Z38="CP",$X38,IF($Z38="RA",(($X38)*QCI!$AA$3),0)),SomaAgrup)</f>
        <v>2875.7015656464368</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IF(C38&lt;=CRONO.NivelExibicao,MAX($AD$15:OFFSET(AD38,-1,0))+IF($C38&lt;&gt;1,1,MAX(1,COUNTIF(QCI!$A$13:$A$15,OFFSET($E38,-1,0)))),"")</f>
        <v/>
      </c>
      <c r="AE38" s="7" t="str" cm="1">
        <f t="array" aca="1" ref="AE38" ca="1">IF(AND($C38="S",ORÇAMENTO.CodBarra&lt;&gt;""),IF(ORÇAMENTO.Fonte="",ORÇAMENTO.CodBarra,CONCATENATE(ORÇAMENTO.Fonte," ",ORÇAMENTO.CodBarra)))</f>
        <v>SINAPI 95876</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15804</v>
      </c>
      <c r="AG38" s="428" cm="1">
        <f t="array" aca="1" ref="AG38" ca="1">ROUND(IF(DESONERACAO="sim",REFERENCIA.Desonerado,REFERENCIA.NaoDesonerado),2)</f>
        <v>2.2400000000000002</v>
      </c>
      <c r="AH38" s="429">
        <f t="shared" ca="1" si="14"/>
        <v>0.24329999999999999</v>
      </c>
      <c r="AJ38" s="431"/>
      <c r="AL38" s="439">
        <v>1.42</v>
      </c>
      <c r="AM38" s="336">
        <f t="shared" ca="1" si="0"/>
        <v>25566.44</v>
      </c>
      <c r="AN38" s="470" cm="1">
        <f t="array" aca="1" ref="AN38" ca="1">ROUND(ORÇAMENTO.CustoUnitario*(1+$AH38),2)</f>
        <v>2.78</v>
      </c>
    </row>
    <row r="39" spans="1:40" x14ac:dyDescent="0.2">
      <c r="A39" t="str">
        <f t="shared" si="1"/>
        <v>S</v>
      </c>
      <c r="B39">
        <f t="shared" ca="1" si="2"/>
        <v>2</v>
      </c>
      <c r="C39" t="str">
        <f t="shared" ca="1" si="3"/>
        <v>S</v>
      </c>
      <c r="D39">
        <f t="shared" ca="1" si="4"/>
        <v>0</v>
      </c>
      <c r="E39">
        <f ca="1">IF($C39=1,OFFSET(E39,-1,0)+MAX(1,COUNTIF(QCI!$A$13:$A$15,OFFSET(ORÇAMENTO!E39,-1,0))),OFFSET(E39,-1,0))</f>
        <v>1</v>
      </c>
      <c r="F39">
        <f t="shared" ca="1" si="5"/>
        <v>4</v>
      </c>
      <c r="G39">
        <f t="shared" ca="1" si="6"/>
        <v>0</v>
      </c>
      <c r="H39">
        <f t="shared" ca="1" si="7"/>
        <v>0</v>
      </c>
      <c r="I39">
        <f t="shared" ca="1" si="8"/>
        <v>6</v>
      </c>
      <c r="J39">
        <f t="shared" ca="1" si="9"/>
        <v>0</v>
      </c>
      <c r="K39">
        <f ca="1">IF(OR($C39="S",$C39=0),0,MATCH(OFFSET($D39,0,$C39)+IF($C39&lt;&gt;1,1,COUNTIF(QCI!$A$13:$A$15,ORÇAMENTO!E39)),OFFSET($D39,1,$C39,ROW($C$56)-ROW($C39)),0))</f>
        <v>0</v>
      </c>
      <c r="L39" s="114" t="str">
        <f t="shared" ca="1" si="10"/>
        <v>F</v>
      </c>
      <c r="M39" s="115" t="s">
        <v>705</v>
      </c>
      <c r="N39" s="116" t="str">
        <f t="shared" ca="1" si="11"/>
        <v>Serviço</v>
      </c>
      <c r="O39" s="117" t="str">
        <f t="shared" ca="1" si="12"/>
        <v>1.4.6.</v>
      </c>
      <c r="P39" s="118" t="s">
        <v>1012</v>
      </c>
      <c r="Q39" s="119" t="s">
        <v>1013</v>
      </c>
      <c r="R39" s="120" t="s">
        <v>1014</v>
      </c>
      <c r="S39" s="121" t="s">
        <v>623</v>
      </c>
      <c r="T39" s="122">
        <f ca="1">OFFSET(CÁLCULO!H$15,ROW($T39)-ROW(T$15),0)</f>
        <v>3620.09</v>
      </c>
      <c r="U39" s="123">
        <v>0.82</v>
      </c>
      <c r="V39" s="124" t="s">
        <v>663</v>
      </c>
      <c r="W39" s="122" cm="1">
        <f t="array" aca="1" ref="W39" ca="1">IF($C39="S",ROUND(IF(TIPOORCAMENTO="Proposto",ORÇAMENTO.CustoUnitario*(1+$AH39),ORÇAMENTO.PrecoUnitarioLicitado),15-13*$AF$10),0)</f>
        <v>1.02</v>
      </c>
      <c r="X39" s="125" cm="1">
        <f t="array" aca="1" ref="X39" ca="1">IF($C39="S",IF(OR(Import.TipoArredondamento&lt;&gt;"TransfereGOV",ACOMPANHAMENTO="BM"),VTOTAL1,SUM(OFFSET(CÁLCULO!$AA$15,ROW($X39)-ROW($X$15),1):OFFSET(CÁLCULO!$AL$15,ROW($X39)-ROW($X$15),-1))),IF($C39=0,0,ROUND(SomaAgrup,15-13*$AF$11)))</f>
        <v>3692.49</v>
      </c>
      <c r="Y39" s="126" t="s">
        <v>751</v>
      </c>
      <c r="Z39" t="str">
        <f t="shared" ca="1" si="13"/>
        <v>RA</v>
      </c>
      <c r="AA39" s="127" cm="1">
        <f t="array" aca="1" ref="AA39" ca="1">IF($C39="S",IF($Z39="CP",$X39,IF($Z39="RA",(($X39)*QCI!$AA$3),0)),SomaAgrup)</f>
        <v>415.32959904209628</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ACIMA REF.</v>
      </c>
      <c r="AD39" t="str">
        <f ca="1">IF(C39&lt;=CRONO.NivelExibicao,MAX($AD$15:OFFSET(AD39,-1,0))+IF($C39&lt;&gt;1,1,MAX(1,COUNTIF(QCI!$A$13:$A$15,OFFSET($E39,-1,0)))),"")</f>
        <v/>
      </c>
      <c r="AE39" s="7" t="str" cm="1">
        <f t="array" aca="1" ref="AE39" ca="1">IF(AND($C39="S",ORÇAMENTO.CodBarra&lt;&gt;""),IF(ORÇAMENTO.Fonte="",ORÇAMENTO.CodBarra,CONCATENATE(ORÇAMENTO.Fonte," ",ORÇAMENTO.CodBarra)))</f>
        <v>CDHU 54.01.410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0.24329999999999999</v>
      </c>
      <c r="AJ39" s="431"/>
      <c r="AL39" s="439"/>
      <c r="AM39" s="336">
        <f t="shared" ca="1" si="0"/>
        <v>3692.49</v>
      </c>
      <c r="AN39" s="470" cm="1">
        <f t="array" aca="1" ref="AN39" ca="1">ROUND(ORÇAMENTO.CustoUnitario*(1+$AH39),2)</f>
        <v>1.02</v>
      </c>
    </row>
    <row r="40" spans="1:40" x14ac:dyDescent="0.2">
      <c r="A40" t="str">
        <f t="shared" si="1"/>
        <v>S</v>
      </c>
      <c r="B40">
        <f t="shared" ca="1" si="2"/>
        <v>2</v>
      </c>
      <c r="C40" t="str">
        <f t="shared" ca="1" si="3"/>
        <v>S</v>
      </c>
      <c r="D40">
        <f t="shared" ca="1" si="4"/>
        <v>0</v>
      </c>
      <c r="E40">
        <f ca="1">IF($C40=1,OFFSET(E40,-1,0)+MAX(1,COUNTIF(QCI!$A$13:$A$15,OFFSET(ORÇAMENTO!E40,-1,0))),OFFSET(E40,-1,0))</f>
        <v>1</v>
      </c>
      <c r="F40">
        <f t="shared" ca="1" si="5"/>
        <v>4</v>
      </c>
      <c r="G40">
        <f t="shared" ca="1" si="6"/>
        <v>0</v>
      </c>
      <c r="H40">
        <f t="shared" ca="1" si="7"/>
        <v>0</v>
      </c>
      <c r="I40">
        <f t="shared" ca="1" si="8"/>
        <v>7</v>
      </c>
      <c r="J40">
        <f t="shared" ca="1" si="9"/>
        <v>0</v>
      </c>
      <c r="K40">
        <f ca="1">IF(OR($C40="S",$C40=0),0,MATCH(OFFSET($D40,0,$C40)+IF($C40&lt;&gt;1,1,COUNTIF(QCI!$A$13:$A$15,ORÇAMENTO!E40)),OFFSET($D40,1,$C40,ROW($C$56)-ROW($C40)),0))</f>
        <v>0</v>
      </c>
      <c r="L40" s="114" t="str">
        <f t="shared" ca="1" si="10"/>
        <v>F</v>
      </c>
      <c r="M40" s="115" t="s">
        <v>705</v>
      </c>
      <c r="N40" s="116" t="str">
        <f t="shared" ca="1" si="11"/>
        <v>Serviço</v>
      </c>
      <c r="O40" s="117" t="str">
        <f t="shared" ca="1" si="12"/>
        <v>1.4.7.</v>
      </c>
      <c r="P40" s="118" t="s">
        <v>1038</v>
      </c>
      <c r="Q40" s="119" t="s">
        <v>1036</v>
      </c>
      <c r="R40" s="120" t="s">
        <v>1039</v>
      </c>
      <c r="S40" s="121" t="s">
        <v>623</v>
      </c>
      <c r="T40" s="122">
        <f ca="1">OFFSET(CÁLCULO!H$15,ROW($T40)-ROW(T$15),0)</f>
        <v>1857.89</v>
      </c>
      <c r="U40" s="123">
        <v>4.6900000000000004</v>
      </c>
      <c r="V40" s="124" t="s">
        <v>663</v>
      </c>
      <c r="W40" s="122" cm="1">
        <f t="array" aca="1" ref="W40" ca="1">IF($C40="S",ROUND(IF(TIPOORCAMENTO="Proposto",ORÇAMENTO.CustoUnitario*(1+$AH40),ORÇAMENTO.PrecoUnitarioLicitado),15-13*$AF$10),0)</f>
        <v>5.83</v>
      </c>
      <c r="X40" s="125" cm="1">
        <f t="array" aca="1" ref="X40" ca="1">IF($C40="S",IF(OR(Import.TipoArredondamento&lt;&gt;"TransfereGOV",ACOMPANHAMENTO="BM"),VTOTAL1,SUM(OFFSET(CÁLCULO!$AA$15,ROW($X40)-ROW($X$15),1):OFFSET(CÁLCULO!$AL$15,ROW($X40)-ROW($X$15),-1))),IF($C40=0,0,ROUND(SomaAgrup,15-13*$AF$11)))</f>
        <v>10831.5</v>
      </c>
      <c r="Y40" s="126" t="s">
        <v>751</v>
      </c>
      <c r="Z40" t="str">
        <f t="shared" ca="1" si="13"/>
        <v>RA</v>
      </c>
      <c r="AA40" s="127" cm="1">
        <f t="array" aca="1" ref="AA40" ca="1">IF($C40="S",IF($Z40="CP",$X40,IF($Z40="RA",(($X40)*QCI!$AA$3),0)),SomaAgrup)</f>
        <v>1218.3222031811774</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ACIMA REF.</v>
      </c>
      <c r="AD40" t="str">
        <f ca="1">IF(C40&lt;=CRONO.NivelExibicao,MAX($AD$15:OFFSET(AD40,-1,0))+IF($C40&lt;&gt;1,1,MAX(1,COUNTIF(QCI!$A$13:$A$15,OFFSET($E40,-1,0)))),"")</f>
        <v/>
      </c>
      <c r="AE40" s="7" t="str" cm="1">
        <f t="array" aca="1" ref="AE40" ca="1">IF(AND($C40="S",ORÇAMENTO.CodBarra&lt;&gt;""),IF(ORÇAMENTO.Fonte="",ORÇAMENTO.CodBarra,CONCATENATE(ORÇAMENTO.Fonte," ",ORÇAMENTO.CodBarra)))</f>
        <v>DER 23.05.01.99</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14"/>
        <v>0.24329999999999999</v>
      </c>
      <c r="AJ40" s="431"/>
      <c r="AL40" s="439"/>
      <c r="AM40" s="336">
        <f t="shared" ca="1" si="0"/>
        <v>10831.5</v>
      </c>
      <c r="AN40" s="470" cm="1">
        <f t="array" aca="1" ref="AN40" ca="1">ROUND(ORÇAMENTO.CustoUnitario*(1+$AH40),2)</f>
        <v>5.83</v>
      </c>
    </row>
    <row r="41" spans="1:40" x14ac:dyDescent="0.2">
      <c r="A41" t="str">
        <f t="shared" si="1"/>
        <v>S</v>
      </c>
      <c r="B41">
        <f t="shared" ca="1" si="2"/>
        <v>2</v>
      </c>
      <c r="C41" t="str">
        <f t="shared" ca="1" si="3"/>
        <v>S</v>
      </c>
      <c r="D41">
        <f t="shared" ca="1" si="4"/>
        <v>0</v>
      </c>
      <c r="E41">
        <f ca="1">IF($C41=1,OFFSET(E41,-1,0)+MAX(1,COUNTIF(QCI!$A$13:$A$15,OFFSET(ORÇAMENTO!E41,-1,0))),OFFSET(E41,-1,0))</f>
        <v>1</v>
      </c>
      <c r="F41">
        <f t="shared" ca="1" si="5"/>
        <v>4</v>
      </c>
      <c r="G41">
        <f t="shared" ca="1" si="6"/>
        <v>0</v>
      </c>
      <c r="H41">
        <f t="shared" ca="1" si="7"/>
        <v>0</v>
      </c>
      <c r="I41">
        <f t="shared" ca="1" si="8"/>
        <v>8</v>
      </c>
      <c r="J41">
        <f t="shared" ca="1" si="9"/>
        <v>0</v>
      </c>
      <c r="K41">
        <f ca="1">IF(OR($C41="S",$C41=0),0,MATCH(OFFSET($D41,0,$C41)+IF($C41&lt;&gt;1,1,COUNTIF(QCI!$A$13:$A$15,ORÇAMENTO!E41)),OFFSET($D41,1,$C41,ROW($C$56)-ROW($C41)),0))</f>
        <v>0</v>
      </c>
      <c r="L41" s="114" t="str">
        <f t="shared" ca="1" si="10"/>
        <v>F</v>
      </c>
      <c r="M41" s="115" t="s">
        <v>705</v>
      </c>
      <c r="N41" s="116" t="str">
        <f t="shared" ca="1" si="11"/>
        <v>Serviço</v>
      </c>
      <c r="O41" s="117" t="str">
        <f t="shared" ca="1" si="12"/>
        <v>1.4.8.</v>
      </c>
      <c r="P41" s="118" t="s">
        <v>1038</v>
      </c>
      <c r="Q41" s="119" t="s">
        <v>1037</v>
      </c>
      <c r="R41" s="120" t="s">
        <v>1040</v>
      </c>
      <c r="S41" s="121" t="s">
        <v>623</v>
      </c>
      <c r="T41" s="122">
        <f ca="1">OFFSET(CÁLCULO!H$15,ROW($T41)-ROW(T$15),0)</f>
        <v>5477.98</v>
      </c>
      <c r="U41" s="123">
        <v>3.04</v>
      </c>
      <c r="V41" s="124" t="s">
        <v>663</v>
      </c>
      <c r="W41" s="122" cm="1">
        <f t="array" aca="1" ref="W41" ca="1">IF($C41="S",ROUND(IF(TIPOORCAMENTO="Proposto",ORÇAMENTO.CustoUnitario*(1+$AH41),ORÇAMENTO.PrecoUnitarioLicitado),15-13*$AF$10),0)</f>
        <v>3.78</v>
      </c>
      <c r="X41" s="125" cm="1">
        <f t="array" aca="1" ref="X41" ca="1">IF($C41="S",IF(OR(Import.TipoArredondamento&lt;&gt;"TransfereGOV",ACOMPANHAMENTO="BM"),VTOTAL1,SUM(OFFSET(CÁLCULO!$AA$15,ROW($X41)-ROW($X$15),1):OFFSET(CÁLCULO!$AL$15,ROW($X41)-ROW($X$15),-1))),IF($C41=0,0,ROUND(SomaAgrup,15-13*$AF$11)))</f>
        <v>20706.759999999998</v>
      </c>
      <c r="Y41" s="126" t="s">
        <v>751</v>
      </c>
      <c r="Z41" t="str">
        <f t="shared" ca="1" si="13"/>
        <v>RA</v>
      </c>
      <c r="AA41" s="127" cm="1">
        <f t="array" aca="1" ref="AA41" ca="1">IF($C41="S",IF($Z41="CP",$X41,IF($Z41="RA",(($X41)*QCI!$AA$3),0)),SomaAgrup)</f>
        <v>2329.0869652350898</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ACIMA REF.</v>
      </c>
      <c r="AD41" t="str">
        <f ca="1">IF(C41&lt;=CRONO.NivelExibicao,MAX($AD$15:OFFSET(AD41,-1,0))+IF($C41&lt;&gt;1,1,MAX(1,COUNTIF(QCI!$A$13:$A$15,OFFSET($E41,-1,0)))),"")</f>
        <v/>
      </c>
      <c r="AE41" s="7" t="str" cm="1">
        <f t="array" aca="1" ref="AE41" ca="1">IF(AND($C41="S",ORÇAMENTO.CodBarra&lt;&gt;""),IF(ORÇAMENTO.Fonte="",ORÇAMENTO.CodBarra,CONCATENATE(ORÇAMENTO.Fonte," ",ORÇAMENTO.CodBarra)))</f>
        <v>DER 23.05.02.99</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4"/>
        <v>0.24329999999999999</v>
      </c>
      <c r="AJ41" s="431"/>
      <c r="AL41" s="439"/>
      <c r="AM41" s="336">
        <f t="shared" ca="1" si="0"/>
        <v>20706.759999999998</v>
      </c>
      <c r="AN41" s="470" cm="1">
        <f t="array" aca="1" ref="AN41" ca="1">ROUND(ORÇAMENTO.CustoUnitario*(1+$AH41),2)</f>
        <v>3.78</v>
      </c>
    </row>
    <row r="42" spans="1:40" ht="38.25" x14ac:dyDescent="0.2">
      <c r="A42" t="str">
        <f t="shared" si="1"/>
        <v>S</v>
      </c>
      <c r="B42">
        <f t="shared" ca="1" si="2"/>
        <v>2</v>
      </c>
      <c r="C42" t="str">
        <f t="shared" ca="1" si="3"/>
        <v>S</v>
      </c>
      <c r="D42">
        <f t="shared" ca="1" si="4"/>
        <v>0</v>
      </c>
      <c r="E42">
        <f ca="1">IF($C42=1,OFFSET(E42,-1,0)+MAX(1,COUNTIF(QCI!$A$13:$A$15,OFFSET(ORÇAMENTO!E42,-1,0))),OFFSET(E42,-1,0))</f>
        <v>1</v>
      </c>
      <c r="F42">
        <f t="shared" ca="1" si="5"/>
        <v>4</v>
      </c>
      <c r="G42">
        <f t="shared" ca="1" si="6"/>
        <v>0</v>
      </c>
      <c r="H42">
        <f t="shared" ca="1" si="7"/>
        <v>0</v>
      </c>
      <c r="I42">
        <f t="shared" ca="1" si="8"/>
        <v>9</v>
      </c>
      <c r="J42">
        <f t="shared" ca="1" si="9"/>
        <v>0</v>
      </c>
      <c r="K42">
        <f ca="1">IF(OR($C42="S",$C42=0),0,MATCH(OFFSET($D42,0,$C42)+IF($C42&lt;&gt;1,1,COUNTIF(QCI!$A$13:$A$15,ORÇAMENTO!E42)),OFFSET($D42,1,$C42,ROW($C$56)-ROW($C42)),0))</f>
        <v>0</v>
      </c>
      <c r="L42" s="114" t="str">
        <f t="shared" ca="1" si="10"/>
        <v>F</v>
      </c>
      <c r="M42" s="115" t="s">
        <v>705</v>
      </c>
      <c r="N42" s="116" t="str">
        <f t="shared" ca="1" si="11"/>
        <v>Serviço</v>
      </c>
      <c r="O42" s="117" t="str">
        <f t="shared" ca="1" si="12"/>
        <v>1.4.9.</v>
      </c>
      <c r="P42" s="118" t="s">
        <v>750</v>
      </c>
      <c r="Q42" s="119" t="s">
        <v>1008</v>
      </c>
      <c r="R42" s="120" t="str" cm="1">
        <f t="array" aca="1" ref="R42" ca="1">IF($C42="S",REFERENCIA.Descricao,"(digite a descrição aqui)")</f>
        <v>EXECUÇÃO DE PAVIMENTO COM APLICAÇÃO DE CONCRETO ASFÁLTICO, CAMADA DE ROLAMENTO - EXCLUSIVE CARGA E TRANSPORTE. AF_10/2025</v>
      </c>
      <c r="S42" s="121" t="str" cm="1">
        <f t="array" aca="1" ref="S42" ca="1">REFERENCIA.Unidade</f>
        <v>M3</v>
      </c>
      <c r="T42" s="122">
        <f ca="1">OFFSET(CÁLCULO!H$15,ROW($T42)-ROW(T$15),0)</f>
        <v>191.73</v>
      </c>
      <c r="U42" s="123">
        <v>1493.89</v>
      </c>
      <c r="V42" s="124" t="s">
        <v>663</v>
      </c>
      <c r="W42" s="122" cm="1">
        <f t="array" aca="1" ref="W42" ca="1">IF($C42="S",ROUND(IF(TIPOORCAMENTO="Proposto",ORÇAMENTO.CustoUnitario*(1+$AH42),ORÇAMENTO.PrecoUnitarioLicitado),15-13*$AF$10),0)</f>
        <v>1857.35</v>
      </c>
      <c r="X42" s="125" cm="1">
        <f t="array" aca="1" ref="X42" ca="1">IF($C42="S",IF(OR(Import.TipoArredondamento&lt;&gt;"TransfereGOV",ACOMPANHAMENTO="BM"),VTOTAL1,SUM(OFFSET(CÁLCULO!$AA$15,ROW($X42)-ROW($X$15),1):OFFSET(CÁLCULO!$AL$15,ROW($X42)-ROW($X$15),-1))),IF($C42=0,0,ROUND(SomaAgrup,15-13*$AF$11)))</f>
        <v>356109.72</v>
      </c>
      <c r="Y42" s="126" t="s">
        <v>751</v>
      </c>
      <c r="Z42" t="str">
        <f t="shared" ca="1" si="13"/>
        <v>RA</v>
      </c>
      <c r="AA42" s="127" cm="1">
        <f t="array" aca="1" ref="AA42" ca="1">IF($C42="S",IF($Z42="CP",$X42,IF($Z42="RA",(($X42)*QCI!$AA$3),0)),SomaAgrup)</f>
        <v>40055.05965421522</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IF(C42&lt;=CRONO.NivelExibicao,MAX($AD$15:OFFSET(AD42,-1,0))+IF($C42&lt;&gt;1,1,MAX(1,COUNTIF(QCI!$A$13:$A$15,OFFSET($E42,-1,0)))),"")</f>
        <v/>
      </c>
      <c r="AE42" s="7" t="str" cm="1">
        <f t="array" aca="1" ref="AE42" ca="1">IF(AND($C42="S",ORÇAMENTO.CodBarra&lt;&gt;""),IF(ORÇAMENTO.Fonte="",ORÇAMENTO.CodBarra,CONCATENATE(ORÇAMENTO.Fonte," ",ORÇAMENTO.CodBarra)))</f>
        <v>SINAPI 95995</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6354</v>
      </c>
      <c r="AG42" s="428" cm="1">
        <f t="array" aca="1" ref="AG42" ca="1">ROUND(IF(DESONERACAO="sim",REFERENCIA.Desonerado,REFERENCIA.NaoDesonerado),2)</f>
        <v>1493.89</v>
      </c>
      <c r="AH42" s="429">
        <f t="shared" ca="1" si="14"/>
        <v>0.24329999999999999</v>
      </c>
      <c r="AJ42" s="431"/>
      <c r="AL42" s="439"/>
      <c r="AM42" s="336">
        <f t="shared" ca="1" si="0"/>
        <v>356109.72</v>
      </c>
      <c r="AN42" s="470" cm="1">
        <f t="array" aca="1" ref="AN42" ca="1">ROUND(ORÇAMENTO.CustoUnitario*(1+$AH42),2)</f>
        <v>1857.35</v>
      </c>
    </row>
    <row r="43" spans="1:40" ht="38.25" x14ac:dyDescent="0.2">
      <c r="A43" t="str">
        <f t="shared" si="1"/>
        <v>S</v>
      </c>
      <c r="B43">
        <f t="shared" ca="1" si="2"/>
        <v>2</v>
      </c>
      <c r="C43" t="str">
        <f t="shared" ca="1" si="3"/>
        <v>S</v>
      </c>
      <c r="D43">
        <f t="shared" ca="1" si="4"/>
        <v>0</v>
      </c>
      <c r="E43">
        <f ca="1">IF($C43=1,OFFSET(E43,-1,0)+MAX(1,COUNTIF(QCI!$A$13:$A$15,OFFSET(ORÇAMENTO!E43,-1,0))),OFFSET(E43,-1,0))</f>
        <v>1</v>
      </c>
      <c r="F43">
        <f t="shared" ca="1" si="5"/>
        <v>4</v>
      </c>
      <c r="G43">
        <f t="shared" ca="1" si="6"/>
        <v>0</v>
      </c>
      <c r="H43">
        <f t="shared" ca="1" si="7"/>
        <v>0</v>
      </c>
      <c r="I43">
        <f t="shared" ca="1" si="8"/>
        <v>10</v>
      </c>
      <c r="J43">
        <f t="shared" ca="1" si="9"/>
        <v>0</v>
      </c>
      <c r="K43">
        <f ca="1">IF(OR($C43="S",$C43=0),0,MATCH(OFFSET($D43,0,$C43)+IF($C43&lt;&gt;1,1,COUNTIF(QCI!$A$13:$A$15,ORÇAMENTO!E43)),OFFSET($D43,1,$C43,ROW($C$56)-ROW($C43)),0))</f>
        <v>0</v>
      </c>
      <c r="L43" s="114" t="str">
        <f t="shared" ca="1" si="10"/>
        <v>F</v>
      </c>
      <c r="M43" s="115" t="s">
        <v>705</v>
      </c>
      <c r="N43" s="116" t="str">
        <f t="shared" ca="1" si="11"/>
        <v>Serviço</v>
      </c>
      <c r="O43" s="117" t="str">
        <f t="shared" ca="1" si="12"/>
        <v>1.4.10.</v>
      </c>
      <c r="P43" s="118" t="s">
        <v>750</v>
      </c>
      <c r="Q43" s="119" t="s">
        <v>1035</v>
      </c>
      <c r="R43" s="120" t="str" cm="1">
        <f t="array" aca="1" ref="R43" ca="1">IF($C43="S",REFERENCIA.Descricao,"(digite a descrição aqui)")</f>
        <v>TRANSPORTE COM CAMINHÃO BASCULANTE DE 14 M³, EM VIA URBANA PAVIMENTADA, DMT ATÉ 30 KM (UNIDADE: M3XKM). AF_07/2020</v>
      </c>
      <c r="S43" s="121" t="str" cm="1">
        <f t="array" aca="1" ref="S43" ca="1">REFERENCIA.Unidade</f>
        <v>M3XKM</v>
      </c>
      <c r="T43" s="122">
        <f ca="1">OFFSET(CÁLCULO!H$15,ROW($T43)-ROW(T$15),0)</f>
        <v>5751.9</v>
      </c>
      <c r="U43" s="123">
        <v>2.2400000000000002</v>
      </c>
      <c r="V43" s="124" t="s">
        <v>663</v>
      </c>
      <c r="W43" s="122" cm="1">
        <f t="array" aca="1" ref="W43" ca="1">IF($C43="S",ROUND(IF(TIPOORCAMENTO="Proposto",ORÇAMENTO.CustoUnitario*(1+$AH43),ORÇAMENTO.PrecoUnitarioLicitado),15-13*$AF$10),0)</f>
        <v>2.78</v>
      </c>
      <c r="X43" s="125" cm="1">
        <f t="array" aca="1" ref="X43" ca="1">IF($C43="S",IF(OR(Import.TipoArredondamento&lt;&gt;"TransfereGOV",ACOMPANHAMENTO="BM"),VTOTAL1,SUM(OFFSET(CÁLCULO!$AA$15,ROW($X43)-ROW($X$15),1):OFFSET(CÁLCULO!$AL$15,ROW($X43)-ROW($X$15),-1))),IF($C43=0,0,ROUND(SomaAgrup,15-13*$AF$11)))</f>
        <v>15990.28</v>
      </c>
      <c r="Y43" s="126" t="s">
        <v>751</v>
      </c>
      <c r="Z43" t="str">
        <f t="shared" ca="1" si="13"/>
        <v>RA</v>
      </c>
      <c r="AA43" s="127" cm="1">
        <f t="array" aca="1" ref="AA43" ca="1">IF($C43="S",IF($Z43="CP",$X43,IF($Z43="RA",(($X43)*QCI!$AA$3),0)),SomaAgrup)</f>
        <v>1798.5794358199621</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IF(C43&lt;=CRONO.NivelExibicao,MAX($AD$15:OFFSET(AD43,-1,0))+IF($C43&lt;&gt;1,1,MAX(1,COUNTIF(QCI!$A$13:$A$15,OFFSET($E43,-1,0)))),"")</f>
        <v/>
      </c>
      <c r="AE43" s="7" t="str" cm="1">
        <f t="array" aca="1" ref="AE43" ca="1">IF(AND($C43="S",ORÇAMENTO.CodBarra&lt;&gt;""),IF(ORÇAMENTO.Fonte="",ORÇAMENTO.CodBarra,CONCATENATE(ORÇAMENTO.Fonte," ",ORÇAMENTO.CodBarra)))</f>
        <v>SINAPI 95876</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15804</v>
      </c>
      <c r="AG43" s="428" cm="1">
        <f t="array" aca="1" ref="AG43" ca="1">ROUND(IF(DESONERACAO="sim",REFERENCIA.Desonerado,REFERENCIA.NaoDesonerado),2)</f>
        <v>2.2400000000000002</v>
      </c>
      <c r="AH43" s="429">
        <f t="shared" ca="1" si="14"/>
        <v>0.24329999999999999</v>
      </c>
      <c r="AJ43" s="431"/>
      <c r="AL43" s="439"/>
      <c r="AM43" s="336">
        <f t="shared" ca="1" si="0"/>
        <v>15990.28</v>
      </c>
      <c r="AN43" s="470" cm="1">
        <f t="array" aca="1" ref="AN43" ca="1">ROUND(ORÇAMENTO.CustoUnitario*(1+$AH43),2)</f>
        <v>2.78</v>
      </c>
    </row>
    <row r="44" spans="1:40" ht="25.5" x14ac:dyDescent="0.2">
      <c r="A44">
        <f t="shared" si="1"/>
        <v>2</v>
      </c>
      <c r="B44">
        <f t="shared" ca="1" si="2"/>
        <v>2</v>
      </c>
      <c r="C44">
        <f t="shared" ca="1" si="3"/>
        <v>2</v>
      </c>
      <c r="D44">
        <f t="shared" ca="1" si="4"/>
        <v>5</v>
      </c>
      <c r="E44">
        <f ca="1">IF($C44=1,OFFSET(E44,-1,0)+MAX(1,COUNTIF(QCI!$A$13:$A$15,OFFSET(ORÇAMENTO!E44,-1,0))),OFFSET(E44,-1,0))</f>
        <v>1</v>
      </c>
      <c r="F44">
        <f t="shared" ca="1" si="5"/>
        <v>5</v>
      </c>
      <c r="G44">
        <f t="shared" ca="1" si="6"/>
        <v>0</v>
      </c>
      <c r="H44">
        <f t="shared" ca="1" si="7"/>
        <v>0</v>
      </c>
      <c r="I44">
        <f t="shared" ca="1" si="8"/>
        <v>0</v>
      </c>
      <c r="J44">
        <f t="shared" ca="1" si="9"/>
        <v>12</v>
      </c>
      <c r="K44">
        <f ca="1">IF(OR($C44="S",$C44=0),0,MATCH(OFFSET($D44,0,$C44)+IF($C44&lt;&gt;1,1,COUNTIF(QCI!$A$13:$A$15,ORÇAMENTO!E44)),OFFSET($D44,1,$C44,ROW($C$56)-ROW($C44)),0))</f>
        <v>5</v>
      </c>
      <c r="L44" s="114" t="str">
        <f t="shared" ca="1" si="10"/>
        <v>F</v>
      </c>
      <c r="M44" s="115" t="s">
        <v>702</v>
      </c>
      <c r="N44" s="116" t="str">
        <f t="shared" ca="1" si="11"/>
        <v>Nível 2</v>
      </c>
      <c r="O44" s="117" t="str">
        <f t="shared" ca="1" si="12"/>
        <v>1.5.</v>
      </c>
      <c r="P44" s="118" t="s">
        <v>750</v>
      </c>
      <c r="Q44" s="119"/>
      <c r="R44" s="120" t="s">
        <v>1044</v>
      </c>
      <c r="S44" s="121" t="str" cm="1">
        <f t="array" aca="1" ref="S44" ca="1">REFERENCIA.Unidade</f>
        <v>-</v>
      </c>
      <c r="T44" s="122">
        <f ca="1">OFFSET(CÁLCULO!H$15,ROW($T44)-ROW(T$15),0)</f>
        <v>0</v>
      </c>
      <c r="U44" s="123"/>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227114.05</v>
      </c>
      <c r="Y44" s="126" t="s">
        <v>751</v>
      </c>
      <c r="Z44" t="str">
        <f t="shared" ca="1" si="13"/>
        <v/>
      </c>
      <c r="AA44" s="127" cm="1">
        <f t="array" aca="1" ref="AA44" ca="1">IF($C44="S",IF($Z44="CP",$X44,IF($Z44="RA",(($X44)*QCI!$AA$3),0)),SomaAgrup)</f>
        <v>25545.685248525144</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f ca="1">IF(C44&lt;=CRONO.NivelExibicao,MAX($AD$15:OFFSET(AD44,-1,0))+IF($C44&lt;&gt;1,1,MAX(1,COUNTIF(QCI!$A$13:$A$15,OFFSET($E44,-1,0)))),"")</f>
        <v>6</v>
      </c>
      <c r="AE44" s="7" t="b" cm="1">
        <f t="array" aca="1" ref="AE44" ca="1">IF(AND($C44="S",ORÇAMENTO.CodBarra&lt;&gt;""),IF(ORÇAMENTO.Fonte="",ORÇAMENTO.CodBarra,CONCATENATE(ORÇAMENTO.Fonte," ",ORÇAMENTO.CodBarra)))</f>
        <v>0</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(Sem Código)</v>
      </c>
      <c r="AG44" s="428" cm="1">
        <f t="array" aca="1" ref="AG44" ca="1">ROUND(IF(DESONERACAO="sim",REFERENCIA.Desonerado,REFERENCIA.NaoDesonerado),2)</f>
        <v>0</v>
      </c>
      <c r="AH44" s="429">
        <f t="shared" ca="1" si="14"/>
        <v>0.24329999999999999</v>
      </c>
      <c r="AJ44" s="431"/>
      <c r="AL44" s="439"/>
      <c r="AM44" s="336">
        <f t="shared" ca="1" si="0"/>
        <v>227114.05</v>
      </c>
      <c r="AN44" s="470" cm="1">
        <f t="array" aca="1" ref="AN44" ca="1">ROUND(ORÇAMENTO.CustoUnitario*(1+$AH44),2)</f>
        <v>0</v>
      </c>
    </row>
    <row r="45" spans="1:40" x14ac:dyDescent="0.2">
      <c r="A45" t="str">
        <f t="shared" si="1"/>
        <v>S</v>
      </c>
      <c r="B45">
        <f t="shared" ca="1" si="2"/>
        <v>2</v>
      </c>
      <c r="C45" t="str">
        <f t="shared" ca="1" si="3"/>
        <v>S</v>
      </c>
      <c r="D45">
        <f t="shared" ca="1" si="4"/>
        <v>0</v>
      </c>
      <c r="E45">
        <f ca="1">IF($C45=1,OFFSET(E45,-1,0)+MAX(1,COUNTIF(QCI!$A$13:$A$15,OFFSET(ORÇAMENTO!E45,-1,0))),OFFSET(E45,-1,0))</f>
        <v>1</v>
      </c>
      <c r="F45">
        <f t="shared" ca="1" si="5"/>
        <v>5</v>
      </c>
      <c r="G45">
        <f t="shared" ca="1" si="6"/>
        <v>0</v>
      </c>
      <c r="H45">
        <f t="shared" ca="1" si="7"/>
        <v>0</v>
      </c>
      <c r="I45">
        <f t="shared" ca="1" si="8"/>
        <v>1</v>
      </c>
      <c r="J45">
        <f t="shared" ca="1" si="9"/>
        <v>0</v>
      </c>
      <c r="K45">
        <f ca="1">IF(OR($C45="S",$C45=0),0,MATCH(OFFSET($D45,0,$C45)+IF($C45&lt;&gt;1,1,COUNTIF(QCI!$A$13:$A$15,ORÇAMENTO!E45)),OFFSET($D45,1,$C45,ROW($C$56)-ROW($C45)),0))</f>
        <v>0</v>
      </c>
      <c r="L45" s="114" t="str">
        <f t="shared" ca="1" si="10"/>
        <v>F</v>
      </c>
      <c r="M45" s="115" t="s">
        <v>705</v>
      </c>
      <c r="N45" s="116" t="str">
        <f t="shared" ca="1" si="11"/>
        <v>Serviço</v>
      </c>
      <c r="O45" s="117" t="str">
        <f t="shared" ca="1" si="12"/>
        <v>1.5.1.</v>
      </c>
      <c r="P45" s="118" t="s">
        <v>1012</v>
      </c>
      <c r="Q45" s="119" t="s">
        <v>1013</v>
      </c>
      <c r="R45" s="120" t="s">
        <v>1014</v>
      </c>
      <c r="S45" s="121" t="s">
        <v>623</v>
      </c>
      <c r="T45" s="122">
        <f ca="1">OFFSET(CÁLCULO!H$15,ROW($T45)-ROW(T$15),0)</f>
        <v>3122.93</v>
      </c>
      <c r="U45" s="123">
        <v>0.82</v>
      </c>
      <c r="V45" s="124" t="s">
        <v>663</v>
      </c>
      <c r="W45" s="122" cm="1">
        <f t="array" aca="1" ref="W45" ca="1">IF($C45="S",ROUND(IF(TIPOORCAMENTO="Proposto",ORÇAMENTO.CustoUnitario*(1+$AH45),ORÇAMENTO.PrecoUnitarioLicitado),15-13*$AF$10),0)</f>
        <v>1.02</v>
      </c>
      <c r="X45" s="125" cm="1">
        <f t="array" aca="1" ref="X45" ca="1">IF($C45="S",IF(OR(Import.TipoArredondamento&lt;&gt;"TransfereGOV",ACOMPANHAMENTO="BM"),VTOTAL1,SUM(OFFSET(CÁLCULO!$AA$15,ROW($X45)-ROW($X$15),1):OFFSET(CÁLCULO!$AL$15,ROW($X45)-ROW($X$15),-1))),IF($C45=0,0,ROUND(SomaAgrup,15-13*$AF$11)))</f>
        <v>3185.39</v>
      </c>
      <c r="Y45" s="126" t="s">
        <v>751</v>
      </c>
      <c r="Z45" t="str">
        <f t="shared" ca="1" si="13"/>
        <v>RA</v>
      </c>
      <c r="AA45" s="127" cm="1">
        <f t="array" aca="1" ref="AA45" ca="1">IF($C45="S",IF($Z45="CP",$X45,IF($Z45="RA",(($X45)*QCI!$AA$3),0)),SomaAgrup)</f>
        <v>358.29122123355864</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ACIMA REF.</v>
      </c>
      <c r="AD45" t="str">
        <f ca="1">IF(C45&lt;=CRONO.NivelExibicao,MAX($AD$15:OFFSET(AD45,-1,0))+IF($C45&lt;&gt;1,1,MAX(1,COUNTIF(QCI!$A$13:$A$15,OFFSET($E45,-1,0)))),"")</f>
        <v/>
      </c>
      <c r="AE45" s="7" t="str" cm="1">
        <f t="array" aca="1" ref="AE45" ca="1">IF(AND($C45="S",ORÇAMENTO.CodBarra&lt;&gt;""),IF(ORÇAMENTO.Fonte="",ORÇAMENTO.CodBarra,CONCATENATE(ORÇAMENTO.Fonte," ",ORÇAMENTO.CodBarra)))</f>
        <v>CDHU 54.01.410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14"/>
        <v>0.24329999999999999</v>
      </c>
      <c r="AJ45" s="431"/>
      <c r="AL45" s="439">
        <v>0.73</v>
      </c>
      <c r="AM45" s="336">
        <f t="shared" ca="1" si="0"/>
        <v>3185.39</v>
      </c>
      <c r="AN45" s="470" cm="1">
        <f t="array" aca="1" ref="AN45" ca="1">ROUND(ORÇAMENTO.CustoUnitario*(1+$AH45),2)</f>
        <v>1.02</v>
      </c>
    </row>
    <row r="46" spans="1:40" x14ac:dyDescent="0.2">
      <c r="A46" t="str">
        <f t="shared" si="1"/>
        <v>S</v>
      </c>
      <c r="B46">
        <f t="shared" ca="1" si="2"/>
        <v>2</v>
      </c>
      <c r="C46" t="str">
        <f t="shared" ca="1" si="3"/>
        <v>S</v>
      </c>
      <c r="D46">
        <f t="shared" ca="1" si="4"/>
        <v>0</v>
      </c>
      <c r="E46">
        <f ca="1">IF($C46=1,OFFSET(E46,-1,0)+MAX(1,COUNTIF(QCI!$A$13:$A$15,OFFSET(ORÇAMENTO!E46,-1,0))),OFFSET(E46,-1,0))</f>
        <v>1</v>
      </c>
      <c r="F46">
        <f t="shared" ca="1" si="5"/>
        <v>5</v>
      </c>
      <c r="G46">
        <f t="shared" ca="1" si="6"/>
        <v>0</v>
      </c>
      <c r="H46">
        <f t="shared" ca="1" si="7"/>
        <v>0</v>
      </c>
      <c r="I46">
        <f t="shared" ca="1" si="8"/>
        <v>2</v>
      </c>
      <c r="J46">
        <f t="shared" ca="1" si="9"/>
        <v>0</v>
      </c>
      <c r="K46">
        <f ca="1">IF(OR($C46="S",$C46=0),0,MATCH(OFFSET($D46,0,$C46)+IF($C46&lt;&gt;1,1,COUNTIF(QCI!$A$13:$A$15,ORÇAMENTO!E46)),OFFSET($D46,1,$C46,ROW($C$56)-ROW($C46)),0))</f>
        <v>0</v>
      </c>
      <c r="L46" s="114" t="str">
        <f t="shared" ca="1" si="10"/>
        <v>F</v>
      </c>
      <c r="M46" s="115" t="s">
        <v>705</v>
      </c>
      <c r="N46" s="116" t="str">
        <f t="shared" ca="1" si="11"/>
        <v>Serviço</v>
      </c>
      <c r="O46" s="117" t="str">
        <f t="shared" ca="1" si="12"/>
        <v>1.5.2.</v>
      </c>
      <c r="P46" s="118" t="s">
        <v>1038</v>
      </c>
      <c r="Q46" s="119" t="s">
        <v>1037</v>
      </c>
      <c r="R46" s="120" t="s">
        <v>1040</v>
      </c>
      <c r="S46" s="121" t="s">
        <v>623</v>
      </c>
      <c r="T46" s="122">
        <f ca="1">OFFSET(CÁLCULO!H$15,ROW($T46)-ROW(T$15),0)</f>
        <v>3122.93</v>
      </c>
      <c r="U46" s="123">
        <v>3.04</v>
      </c>
      <c r="V46" s="124" t="s">
        <v>663</v>
      </c>
      <c r="W46" s="122" cm="1">
        <f t="array" aca="1" ref="W46" ca="1">IF($C46="S",ROUND(IF(TIPOORCAMENTO="Proposto",ORÇAMENTO.CustoUnitario*(1+$AH46),ORÇAMENTO.PrecoUnitarioLicitado),15-13*$AF$10),0)</f>
        <v>3.78</v>
      </c>
      <c r="X46" s="125" cm="1">
        <f t="array" aca="1" ref="X46" ca="1">IF($C46="S",IF(OR(Import.TipoArredondamento&lt;&gt;"TransfereGOV",ACOMPANHAMENTO="BM"),VTOTAL1,SUM(OFFSET(CÁLCULO!$AA$15,ROW($X46)-ROW($X$15),1):OFFSET(CÁLCULO!$AL$15,ROW($X46)-ROW($X$15),-1))),IF($C46=0,0,ROUND(SomaAgrup,15-13*$AF$11)))</f>
        <v>11804.68</v>
      </c>
      <c r="Y46" s="126" t="s">
        <v>751</v>
      </c>
      <c r="Z46" t="str">
        <f t="shared" ca="1" si="13"/>
        <v>RA</v>
      </c>
      <c r="AA46" s="127" cm="1">
        <f t="array" aca="1" ref="AA46" ca="1">IF($C46="S",IF($Z46="CP",$X46,IF($Z46="RA",(($X46)*QCI!$AA$3),0)),SomaAgrup)</f>
        <v>1327.7850478187493</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ACIMA REF.</v>
      </c>
      <c r="AD46" t="str">
        <f ca="1">IF(C46&lt;=CRONO.NivelExibicao,MAX($AD$15:OFFSET(AD46,-1,0))+IF($C46&lt;&gt;1,1,MAX(1,COUNTIF(QCI!$A$13:$A$15,OFFSET($E46,-1,0)))),"")</f>
        <v/>
      </c>
      <c r="AE46" s="7" t="str" cm="1">
        <f t="array" aca="1" ref="AE46" ca="1">IF(AND($C46="S",ORÇAMENTO.CodBarra&lt;&gt;""),IF(ORÇAMENTO.Fonte="",ORÇAMENTO.CodBarra,CONCATENATE(ORÇAMENTO.Fonte," ",ORÇAMENTO.CodBarra)))</f>
        <v>DER 23.05.02.99</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0.24329999999999999</v>
      </c>
      <c r="AJ46" s="431"/>
      <c r="AL46" s="439">
        <v>6.1</v>
      </c>
      <c r="AM46" s="336">
        <f t="shared" ca="1" si="0"/>
        <v>11804.68</v>
      </c>
      <c r="AN46" s="470" cm="1">
        <f t="array" aca="1" ref="AN46" ca="1">ROUND(ORÇAMENTO.CustoUnitario*(1+$AH46),2)</f>
        <v>3.78</v>
      </c>
    </row>
    <row r="47" spans="1:40" ht="38.25" x14ac:dyDescent="0.2">
      <c r="A47" t="str">
        <f t="shared" si="1"/>
        <v>S</v>
      </c>
      <c r="B47">
        <f t="shared" ca="1" si="2"/>
        <v>2</v>
      </c>
      <c r="C47" t="str">
        <f t="shared" ca="1" si="3"/>
        <v>S</v>
      </c>
      <c r="D47">
        <f t="shared" ca="1" si="4"/>
        <v>0</v>
      </c>
      <c r="E47">
        <f ca="1">IF($C47=1,OFFSET(E47,-1,0)+MAX(1,COUNTIF(QCI!$A$13:$A$15,OFFSET(ORÇAMENTO!E47,-1,0))),OFFSET(E47,-1,0))</f>
        <v>1</v>
      </c>
      <c r="F47">
        <f t="shared" ca="1" si="5"/>
        <v>5</v>
      </c>
      <c r="G47">
        <f t="shared" ca="1" si="6"/>
        <v>0</v>
      </c>
      <c r="H47">
        <f t="shared" ca="1" si="7"/>
        <v>0</v>
      </c>
      <c r="I47">
        <f t="shared" ca="1" si="8"/>
        <v>3</v>
      </c>
      <c r="J47">
        <f t="shared" ca="1" si="9"/>
        <v>0</v>
      </c>
      <c r="K47">
        <f ca="1">IF(OR($C47="S",$C47=0),0,MATCH(OFFSET($D47,0,$C47)+IF($C47&lt;&gt;1,1,COUNTIF(QCI!$A$13:$A$15,ORÇAMENTO!E47)),OFFSET($D47,1,$C47,ROW($C$56)-ROW($C47)),0))</f>
        <v>0</v>
      </c>
      <c r="L47" s="114" t="str">
        <f t="shared" ca="1" si="10"/>
        <v>F</v>
      </c>
      <c r="M47" s="115" t="s">
        <v>705</v>
      </c>
      <c r="N47" s="116" t="str">
        <f t="shared" ca="1" si="11"/>
        <v>Serviço</v>
      </c>
      <c r="O47" s="117" t="str">
        <f t="shared" ca="1" si="12"/>
        <v>1.5.3.</v>
      </c>
      <c r="P47" s="118" t="s">
        <v>750</v>
      </c>
      <c r="Q47" s="119" t="s">
        <v>1008</v>
      </c>
      <c r="R47" s="120" t="str" cm="1">
        <f t="array" aca="1" ref="R47" ca="1">IF($C47="S",REFERENCIA.Descricao,"(digite a descrição aqui)")</f>
        <v>EXECUÇÃO DE PAVIMENTO COM APLICAÇÃO DE CONCRETO ASFÁLTICO, CAMADA DE ROLAMENTO - EXCLUSIVE CARGA E TRANSPORTE. AF_10/2025</v>
      </c>
      <c r="S47" s="121" t="str" cm="1">
        <f t="array" aca="1" ref="S47" ca="1">REFERENCIA.Unidade</f>
        <v>M3</v>
      </c>
      <c r="T47" s="122">
        <f ca="1">OFFSET(CÁLCULO!H$15,ROW($T47)-ROW(T$15),0)</f>
        <v>109.3</v>
      </c>
      <c r="U47" s="123">
        <v>1493.89</v>
      </c>
      <c r="V47" s="124" t="s">
        <v>663</v>
      </c>
      <c r="W47" s="122" cm="1">
        <f t="array" aca="1" ref="W47" ca="1">IF($C47="S",ROUND(IF(TIPOORCAMENTO="Proposto",ORÇAMENTO.CustoUnitario*(1+$AH47),ORÇAMENTO.PrecoUnitarioLicitado),15-13*$AF$10),0)</f>
        <v>1857.35</v>
      </c>
      <c r="X47" s="125" cm="1">
        <f t="array" aca="1" ref="X47" ca="1">IF($C47="S",IF(OR(Import.TipoArredondamento&lt;&gt;"TransfereGOV",ACOMPANHAMENTO="BM"),VTOTAL1,SUM(OFFSET(CÁLCULO!$AA$15,ROW($X47)-ROW($X$15),1):OFFSET(CÁLCULO!$AL$15,ROW($X47)-ROW($X$15),-1))),IF($C47=0,0,ROUND(SomaAgrup,15-13*$AF$11)))</f>
        <v>203008.36</v>
      </c>
      <c r="Y47" s="126" t="s">
        <v>751</v>
      </c>
      <c r="Z47" t="str">
        <f t="shared" ca="1" si="13"/>
        <v>RA</v>
      </c>
      <c r="AA47" s="127" cm="1">
        <f t="array" aca="1" ref="AA47" ca="1">IF($C47="S",IF($Z47="CP",$X47,IF($Z47="RA",(($X47)*QCI!$AA$3),0)),SomaAgrup)</f>
        <v>22834.288179790205</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IF(C47&lt;=CRONO.NivelExibicao,MAX($AD$15:OFFSET(AD47,-1,0))+IF($C47&lt;&gt;1,1,MAX(1,COUNTIF(QCI!$A$13:$A$15,OFFSET($E47,-1,0)))),"")</f>
        <v/>
      </c>
      <c r="AE47" s="7" t="str" cm="1">
        <f t="array" aca="1" ref="AE47" ca="1">IF(AND($C47="S",ORÇAMENTO.CodBarra&lt;&gt;""),IF(ORÇAMENTO.Fonte="",ORÇAMENTO.CodBarra,CONCATENATE(ORÇAMENTO.Fonte," ",ORÇAMENTO.CodBarra)))</f>
        <v>SINAPI 95995</v>
      </c>
      <c r="AF47" s="12"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6354</v>
      </c>
      <c r="AG47" s="428" cm="1">
        <f t="array" aca="1" ref="AG47" ca="1">ROUND(IF(DESONERACAO="sim",REFERENCIA.Desonerado,REFERENCIA.NaoDesonerado),2)</f>
        <v>1493.89</v>
      </c>
      <c r="AH47" s="429">
        <f t="shared" ca="1" si="14"/>
        <v>0.24329999999999999</v>
      </c>
      <c r="AJ47" s="431"/>
      <c r="AL47" s="439">
        <v>1381.98</v>
      </c>
      <c r="AM47" s="336">
        <f t="shared" ca="1" si="0"/>
        <v>203008.36</v>
      </c>
      <c r="AN47" s="470" cm="1">
        <f t="array" aca="1" ref="AN47" ca="1">ROUND(ORÇAMENTO.CustoUnitario*(1+$AH47),2)</f>
        <v>1857.35</v>
      </c>
    </row>
    <row r="48" spans="1:40" ht="38.25" x14ac:dyDescent="0.2">
      <c r="A48" t="str">
        <f t="shared" si="1"/>
        <v>S</v>
      </c>
      <c r="B48">
        <f t="shared" ca="1" si="2"/>
        <v>2</v>
      </c>
      <c r="C48" t="str">
        <f t="shared" ca="1" si="3"/>
        <v>S</v>
      </c>
      <c r="D48">
        <f t="shared" ca="1" si="4"/>
        <v>0</v>
      </c>
      <c r="E48">
        <f ca="1">IF($C48=1,OFFSET(E48,-1,0)+MAX(1,COUNTIF(QCI!$A$13:$A$15,OFFSET(ORÇAMENTO!E48,-1,0))),OFFSET(E48,-1,0))</f>
        <v>1</v>
      </c>
      <c r="F48">
        <f t="shared" ca="1" si="5"/>
        <v>5</v>
      </c>
      <c r="G48">
        <f t="shared" ca="1" si="6"/>
        <v>0</v>
      </c>
      <c r="H48">
        <f t="shared" ca="1" si="7"/>
        <v>0</v>
      </c>
      <c r="I48">
        <f t="shared" ca="1" si="8"/>
        <v>4</v>
      </c>
      <c r="J48">
        <f t="shared" ca="1" si="9"/>
        <v>0</v>
      </c>
      <c r="K48">
        <f ca="1">IF(OR($C48="S",$C48=0),0,MATCH(OFFSET($D48,0,$C48)+IF($C48&lt;&gt;1,1,COUNTIF(QCI!$A$13:$A$15,ORÇAMENTO!E48)),OFFSET($D48,1,$C48,ROW($C$56)-ROW($C48)),0))</f>
        <v>0</v>
      </c>
      <c r="L48" s="114" t="str">
        <f t="shared" ca="1" si="10"/>
        <v>F</v>
      </c>
      <c r="M48" s="115" t="s">
        <v>705</v>
      </c>
      <c r="N48" s="116" t="str">
        <f t="shared" ca="1" si="11"/>
        <v>Serviço</v>
      </c>
      <c r="O48" s="117" t="str">
        <f t="shared" ca="1" si="12"/>
        <v>1.5.4.</v>
      </c>
      <c r="P48" s="118" t="s">
        <v>750</v>
      </c>
      <c r="Q48" s="119" t="s">
        <v>1035</v>
      </c>
      <c r="R48" s="120" t="str" cm="1">
        <f t="array" aca="1" ref="R48" ca="1">IF($C48="S",REFERENCIA.Descricao,"(digite a descrição aqui)")</f>
        <v>TRANSPORTE COM CAMINHÃO BASCULANTE DE 14 M³, EM VIA URBANA PAVIMENTADA, DMT ATÉ 30 KM (UNIDADE: M3XKM). AF_07/2020</v>
      </c>
      <c r="S48" s="121" t="str" cm="1">
        <f t="array" aca="1" ref="S48" ca="1">REFERENCIA.Unidade</f>
        <v>M3XKM</v>
      </c>
      <c r="T48" s="122">
        <f ca="1">OFFSET(CÁLCULO!H$15,ROW($T48)-ROW(T$15),0)</f>
        <v>3279</v>
      </c>
      <c r="U48" s="123">
        <v>2.2400000000000002</v>
      </c>
      <c r="V48" s="124" t="s">
        <v>663</v>
      </c>
      <c r="W48" s="122" cm="1">
        <f t="array" aca="1" ref="W48" ca="1">IF($C48="S",ROUND(IF(TIPOORCAMENTO="Proposto",ORÇAMENTO.CustoUnitario*(1+$AH48),ORÇAMENTO.PrecoUnitarioLicitado),15-13*$AF$10),0)</f>
        <v>2.78</v>
      </c>
      <c r="X48" s="125" cm="1">
        <f t="array" aca="1" ref="X48" ca="1">IF($C48="S",IF(OR(Import.TipoArredondamento&lt;&gt;"TransfereGOV",ACOMPANHAMENTO="BM"),VTOTAL1,SUM(OFFSET(CÁLCULO!$AA$15,ROW($X48)-ROW($X$15),1):OFFSET(CÁLCULO!$AL$15,ROW($X48)-ROW($X$15),-1))),IF($C48=0,0,ROUND(SomaAgrup,15-13*$AF$11)))</f>
        <v>9115.6200000000008</v>
      </c>
      <c r="Y48" s="126" t="s">
        <v>751</v>
      </c>
      <c r="Z48" t="str">
        <f t="shared" ca="1" si="13"/>
        <v>RA</v>
      </c>
      <c r="AA48" s="127" cm="1">
        <f t="array" aca="1" ref="AA48" ca="1">IF($C48="S",IF($Z48="CP",$X48,IF($Z48="RA",(($X48)*QCI!$AA$3),0)),SomaAgrup)</f>
        <v>1025.32079968263</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IF(C48&lt;=CRONO.NivelExibicao,MAX($AD$15:OFFSET(AD48,-1,0))+IF($C48&lt;&gt;1,1,MAX(1,COUNTIF(QCI!$A$13:$A$15,OFFSET($E48,-1,0)))),"")</f>
        <v/>
      </c>
      <c r="AE48" s="7" t="str" cm="1">
        <f t="array" aca="1" ref="AE48" ca="1">IF(AND($C48="S",ORÇAMENTO.CodBarra&lt;&gt;""),IF(ORÇAMENTO.Fonte="",ORÇAMENTO.CodBarra,CONCATENATE(ORÇAMENTO.Fonte," ",ORÇAMENTO.CodBarra)))</f>
        <v>SINAPI 95876</v>
      </c>
      <c r="AF48" s="12"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15804</v>
      </c>
      <c r="AG48" s="428" cm="1">
        <f t="array" aca="1" ref="AG48" ca="1">ROUND(IF(DESONERACAO="sim",REFERENCIA.Desonerado,REFERENCIA.NaoDesonerado),2)</f>
        <v>2.2400000000000002</v>
      </c>
      <c r="AH48" s="429">
        <f t="shared" ca="1" si="14"/>
        <v>0.24329999999999999</v>
      </c>
      <c r="AJ48" s="431"/>
      <c r="AL48" s="439">
        <v>1.4190529999999999</v>
      </c>
      <c r="AM48" s="336">
        <f t="shared" ca="1" si="0"/>
        <v>9115.6200000000008</v>
      </c>
      <c r="AN48" s="470" cm="1">
        <f t="array" aca="1" ref="AN48" ca="1">ROUND(ORÇAMENTO.CustoUnitario*(1+$AH48),2)</f>
        <v>2.78</v>
      </c>
    </row>
    <row r="49" spans="1:40" ht="25.5" x14ac:dyDescent="0.2">
      <c r="A49">
        <f t="shared" si="1"/>
        <v>2</v>
      </c>
      <c r="B49">
        <f t="shared" ca="1" si="2"/>
        <v>2</v>
      </c>
      <c r="C49">
        <f t="shared" ca="1" si="3"/>
        <v>2</v>
      </c>
      <c r="D49">
        <f t="shared" ca="1" si="4"/>
        <v>5</v>
      </c>
      <c r="E49">
        <f ca="1">IF($C49=1,OFFSET(E49,-1,0)+MAX(1,COUNTIF(QCI!$A$13:$A$15,OFFSET(ORÇAMENTO!E49,-1,0))),OFFSET(E49,-1,0))</f>
        <v>1</v>
      </c>
      <c r="F49">
        <f t="shared" ca="1" si="5"/>
        <v>6</v>
      </c>
      <c r="G49">
        <f t="shared" ca="1" si="6"/>
        <v>0</v>
      </c>
      <c r="H49">
        <f t="shared" ca="1" si="7"/>
        <v>0</v>
      </c>
      <c r="I49">
        <f t="shared" ca="1" si="8"/>
        <v>0</v>
      </c>
      <c r="J49">
        <f t="shared" ca="1" si="9"/>
        <v>7</v>
      </c>
      <c r="K49">
        <f ca="1">IF(OR($C49="S",$C49=0),0,MATCH(OFFSET($D49,0,$C49)+IF($C49&lt;&gt;1,1,COUNTIF(QCI!$A$13:$A$15,ORÇAMENTO!E49)),OFFSET($D49,1,$C49,ROW($C$56)-ROW($C49)),0))</f>
        <v>5</v>
      </c>
      <c r="L49" s="114" t="str">
        <f t="shared" ca="1" si="10"/>
        <v>F</v>
      </c>
      <c r="M49" s="115" t="s">
        <v>702</v>
      </c>
      <c r="N49" s="116" t="str">
        <f t="shared" ca="1" si="11"/>
        <v>Nível 2</v>
      </c>
      <c r="O49" s="117" t="str">
        <f t="shared" ca="1" si="12"/>
        <v>1.6.</v>
      </c>
      <c r="P49" s="118" t="s">
        <v>750</v>
      </c>
      <c r="Q49" s="119"/>
      <c r="R49" s="120" t="s">
        <v>1045</v>
      </c>
      <c r="S49" s="121" t="str" cm="1">
        <f t="array" aca="1" ref="S49" ca="1">REFERENCIA.Unidade</f>
        <v>-</v>
      </c>
      <c r="T49" s="122">
        <f ca="1">OFFSET(CÁLCULO!H$15,ROW($T49)-ROW(T$15),0)</f>
        <v>0</v>
      </c>
      <c r="U49" s="123"/>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150169.41</v>
      </c>
      <c r="Y49" s="126" t="s">
        <v>751</v>
      </c>
      <c r="Z49" t="str">
        <f t="shared" ca="1" si="13"/>
        <v/>
      </c>
      <c r="AA49" s="127" cm="1">
        <f t="array" aca="1" ref="AA49" ca="1">IF($C49="S",IF($Z49="CP",$X49,IF($Z49="RA",(($X49)*QCI!$AA$3),0)),SomaAgrup)</f>
        <v>16890.987069345661</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f ca="1">IF(C49&lt;=CRONO.NivelExibicao,MAX($AD$15:OFFSET(AD49,-1,0))+IF($C49&lt;&gt;1,1,MAX(1,COUNTIF(QCI!$A$13:$A$15,OFFSET($E49,-1,0)))),"")</f>
        <v>7</v>
      </c>
      <c r="AE49" s="7" t="b" cm="1">
        <f t="array" aca="1" ref="AE49" ca="1">IF(AND($C49="S",ORÇAMENTO.CodBarra&lt;&gt;""),IF(ORÇAMENTO.Fonte="",ORÇAMENTO.CodBarra,CONCATENATE(ORÇAMENTO.Fonte," ",ORÇAMENTO.CodBarra)))</f>
        <v>0</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(Sem Código)</v>
      </c>
      <c r="AG49" s="428" cm="1">
        <f t="array" aca="1" ref="AG49" ca="1">ROUND(IF(DESONERACAO="sim",REFERENCIA.Desonerado,REFERENCIA.NaoDesonerado),2)</f>
        <v>0</v>
      </c>
      <c r="AH49" s="429">
        <f t="shared" ca="1" si="14"/>
        <v>0.24329999999999999</v>
      </c>
      <c r="AJ49" s="431"/>
      <c r="AL49" s="439"/>
      <c r="AM49" s="336">
        <f t="shared" ca="1" si="0"/>
        <v>150169.41</v>
      </c>
      <c r="AN49" s="470" cm="1">
        <f t="array" aca="1" ref="AN49" ca="1">ROUND(ORÇAMENTO.CustoUnitario*(1+$AH49),2)</f>
        <v>0</v>
      </c>
    </row>
    <row r="50" spans="1:40" x14ac:dyDescent="0.2">
      <c r="A50" t="str">
        <f t="shared" si="1"/>
        <v>S</v>
      </c>
      <c r="B50">
        <f t="shared" ca="1" si="2"/>
        <v>2</v>
      </c>
      <c r="C50" t="str">
        <f t="shared" ca="1" si="3"/>
        <v>S</v>
      </c>
      <c r="D50">
        <f t="shared" ca="1" si="4"/>
        <v>0</v>
      </c>
      <c r="E50">
        <f ca="1">IF($C50=1,OFFSET(E50,-1,0)+MAX(1,COUNTIF(QCI!$A$13:$A$15,OFFSET(ORÇAMENTO!E50,-1,0))),OFFSET(E50,-1,0))</f>
        <v>1</v>
      </c>
      <c r="F50">
        <f t="shared" ca="1" si="5"/>
        <v>6</v>
      </c>
      <c r="G50">
        <f t="shared" ca="1" si="6"/>
        <v>0</v>
      </c>
      <c r="H50">
        <f t="shared" ca="1" si="7"/>
        <v>0</v>
      </c>
      <c r="I50">
        <f t="shared" ca="1" si="8"/>
        <v>1</v>
      </c>
      <c r="J50">
        <f t="shared" ca="1" si="9"/>
        <v>0</v>
      </c>
      <c r="K50">
        <f ca="1">IF(OR($C50="S",$C50=0),0,MATCH(OFFSET($D50,0,$C50)+IF($C50&lt;&gt;1,1,COUNTIF(QCI!$A$13:$A$15,ORÇAMENTO!E50)),OFFSET($D50,1,$C50,ROW($C$56)-ROW($C50)),0))</f>
        <v>0</v>
      </c>
      <c r="L50" s="114" t="str">
        <f t="shared" ca="1" si="10"/>
        <v>F</v>
      </c>
      <c r="M50" s="115" t="s">
        <v>705</v>
      </c>
      <c r="N50" s="116" t="str">
        <f t="shared" ca="1" si="11"/>
        <v>Serviço</v>
      </c>
      <c r="O50" s="117" t="str">
        <f t="shared" ca="1" si="12"/>
        <v>1.6.1.</v>
      </c>
      <c r="P50" s="118" t="s">
        <v>1012</v>
      </c>
      <c r="Q50" s="119" t="s">
        <v>1013</v>
      </c>
      <c r="R50" s="120" t="s">
        <v>1014</v>
      </c>
      <c r="S50" s="121" t="s">
        <v>623</v>
      </c>
      <c r="T50" s="122">
        <f ca="1">OFFSET(CÁLCULO!H$15,ROW($T50)-ROW(T$15),0)</f>
        <v>2064.87</v>
      </c>
      <c r="U50" s="123">
        <v>0.82</v>
      </c>
      <c r="V50" s="124" t="s">
        <v>663</v>
      </c>
      <c r="W50" s="122" cm="1">
        <f t="array" aca="1" ref="W50" ca="1">IF($C50="S",ROUND(IF(TIPOORCAMENTO="Proposto",ORÇAMENTO.CustoUnitario*(1+$AH50),ORÇAMENTO.PrecoUnitarioLicitado),15-13*$AF$10),0)</f>
        <v>1.02</v>
      </c>
      <c r="X50" s="125" cm="1">
        <f t="array" aca="1" ref="X50" ca="1">IF($C50="S",IF(OR(Import.TipoArredondamento&lt;&gt;"TransfereGOV",ACOMPANHAMENTO="BM"),VTOTAL1,SUM(OFFSET(CÁLCULO!$AA$15,ROW($X50)-ROW($X$15),1):OFFSET(CÁLCULO!$AL$15,ROW($X50)-ROW($X$15),-1))),IF($C50=0,0,ROUND(SomaAgrup,15-13*$AF$11)))</f>
        <v>2106.17</v>
      </c>
      <c r="Y50" s="126" t="s">
        <v>751</v>
      </c>
      <c r="Z50" t="str">
        <f t="shared" ca="1" si="13"/>
        <v>RA</v>
      </c>
      <c r="AA50" s="127" cm="1">
        <f t="array" aca="1" ref="AA50" ca="1">IF($C50="S",IF($Z50="CP",$X50,IF($Z50="RA",(($X50)*QCI!$AA$3),0)),SomaAgrup)</f>
        <v>236.90104553146847</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ACIMA REF.</v>
      </c>
      <c r="AD50" t="str">
        <f ca="1">IF(C50&lt;=CRONO.NivelExibicao,MAX($AD$15:OFFSET(AD50,-1,0))+IF($C50&lt;&gt;1,1,MAX(1,COUNTIF(QCI!$A$13:$A$15,OFFSET($E50,-1,0)))),"")</f>
        <v/>
      </c>
      <c r="AE50" s="7" t="str" cm="1">
        <f t="array" aca="1" ref="AE50" ca="1">IF(AND($C50="S",ORÇAMENTO.CodBarra&lt;&gt;""),IF(ORÇAMENTO.Fonte="",ORÇAMENTO.CodBarra,CONCATENATE(ORÇAMENTO.Fonte," ",ORÇAMENTO.CodBarra)))</f>
        <v>CDHU 54.01.410</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t="shared" ca="1" si="14"/>
        <v>0.24329999999999999</v>
      </c>
      <c r="AJ50" s="431"/>
      <c r="AL50" s="439">
        <v>0.73</v>
      </c>
      <c r="AM50" s="336">
        <f t="shared" ca="1" si="0"/>
        <v>2106.17</v>
      </c>
      <c r="AN50" s="470" cm="1">
        <f t="array" aca="1" ref="AN50" ca="1">ROUND(ORÇAMENTO.CustoUnitario*(1+$AH50),2)</f>
        <v>1.02</v>
      </c>
    </row>
    <row r="51" spans="1:40" x14ac:dyDescent="0.2">
      <c r="A51" t="str">
        <f t="shared" si="1"/>
        <v>S</v>
      </c>
      <c r="B51">
        <f t="shared" ca="1" si="2"/>
        <v>2</v>
      </c>
      <c r="C51" t="str">
        <f t="shared" ca="1" si="3"/>
        <v>S</v>
      </c>
      <c r="D51">
        <f t="shared" ca="1" si="4"/>
        <v>0</v>
      </c>
      <c r="E51">
        <f ca="1">IF($C51=1,OFFSET(E51,-1,0)+MAX(1,COUNTIF(QCI!$A$13:$A$15,OFFSET(ORÇAMENTO!E51,-1,0))),OFFSET(E51,-1,0))</f>
        <v>1</v>
      </c>
      <c r="F51">
        <f t="shared" ca="1" si="5"/>
        <v>6</v>
      </c>
      <c r="G51">
        <f t="shared" ca="1" si="6"/>
        <v>0</v>
      </c>
      <c r="H51">
        <f t="shared" ca="1" si="7"/>
        <v>0</v>
      </c>
      <c r="I51">
        <f t="shared" ca="1" si="8"/>
        <v>2</v>
      </c>
      <c r="J51">
        <f t="shared" ca="1" si="9"/>
        <v>0</v>
      </c>
      <c r="K51">
        <f ca="1">IF(OR($C51="S",$C51=0),0,MATCH(OFFSET($D51,0,$C51)+IF($C51&lt;&gt;1,1,COUNTIF(QCI!$A$13:$A$15,ORÇAMENTO!E51)),OFFSET($D51,1,$C51,ROW($C$56)-ROW($C51)),0))</f>
        <v>0</v>
      </c>
      <c r="L51" s="114" t="str">
        <f t="shared" ca="1" si="10"/>
        <v>F</v>
      </c>
      <c r="M51" s="115" t="s">
        <v>705</v>
      </c>
      <c r="N51" s="116" t="str">
        <f t="shared" ca="1" si="11"/>
        <v>Serviço</v>
      </c>
      <c r="O51" s="117" t="str">
        <f t="shared" ca="1" si="12"/>
        <v>1.6.2.</v>
      </c>
      <c r="P51" s="118" t="s">
        <v>1038</v>
      </c>
      <c r="Q51" s="119" t="s">
        <v>1037</v>
      </c>
      <c r="R51" s="120" t="s">
        <v>1040</v>
      </c>
      <c r="S51" s="121" t="s">
        <v>623</v>
      </c>
      <c r="T51" s="122">
        <f ca="1">OFFSET(CÁLCULO!H$15,ROW($T51)-ROW(T$15),0)</f>
        <v>2064.87</v>
      </c>
      <c r="U51" s="123">
        <v>3.04</v>
      </c>
      <c r="V51" s="124" t="s">
        <v>663</v>
      </c>
      <c r="W51" s="122" cm="1">
        <f t="array" aca="1" ref="W51" ca="1">IF($C51="S",ROUND(IF(TIPOORCAMENTO="Proposto",ORÇAMENTO.CustoUnitario*(1+$AH51),ORÇAMENTO.PrecoUnitarioLicitado),15-13*$AF$10),0)</f>
        <v>3.78</v>
      </c>
      <c r="X51" s="125" cm="1">
        <f t="array" aca="1" ref="X51" ca="1">IF($C51="S",IF(OR(Import.TipoArredondamento&lt;&gt;"TransfereGOV",ACOMPANHAMENTO="BM"),VTOTAL1,SUM(OFFSET(CÁLCULO!$AA$15,ROW($X51)-ROW($X$15),1):OFFSET(CÁLCULO!$AL$15,ROW($X51)-ROW($X$15),-1))),IF($C51=0,0,ROUND(SomaAgrup,15-13*$AF$11)))</f>
        <v>7805.21</v>
      </c>
      <c r="Y51" s="126" t="s">
        <v>751</v>
      </c>
      <c r="Z51" t="str">
        <f t="shared" ca="1" si="13"/>
        <v>RA</v>
      </c>
      <c r="AA51" s="127" cm="1">
        <f t="array" aca="1" ref="AA51" ca="1">IF($C51="S",IF($Z51="CP",$X51,IF($Z51="RA",(($X51)*QCI!$AA$3),0)),SomaAgrup)</f>
        <v>877.926477726239</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ACIMA REF.</v>
      </c>
      <c r="AD51" t="str">
        <f ca="1">IF(C51&lt;=CRONO.NivelExibicao,MAX($AD$15:OFFSET(AD51,-1,0))+IF($C51&lt;&gt;1,1,MAX(1,COUNTIF(QCI!$A$13:$A$15,OFFSET($E51,-1,0)))),"")</f>
        <v/>
      </c>
      <c r="AE51" s="7" t="str" cm="1">
        <f t="array" aca="1" ref="AE51" ca="1">IF(AND($C51="S",ORÇAMENTO.CodBarra&lt;&gt;""),IF(ORÇAMENTO.Fonte="",ORÇAMENTO.CodBarra,CONCATENATE(ORÇAMENTO.Fonte," ",ORÇAMENTO.CodBarra)))</f>
        <v>DER 23.05.02.99</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(Código não identificado nas referências)</v>
      </c>
      <c r="AG51" s="428" cm="1">
        <f t="array" aca="1" ref="AG51" ca="1">ROUND(IF(DESONERACAO="sim",REFERENCIA.Desonerado,REFERENCIA.NaoDesonerado),2)</f>
        <v>0</v>
      </c>
      <c r="AH51" s="429">
        <f t="shared" ca="1" si="14"/>
        <v>0.24329999999999999</v>
      </c>
      <c r="AJ51" s="431"/>
      <c r="AL51" s="439">
        <v>6.1</v>
      </c>
      <c r="AM51" s="336">
        <f t="shared" ca="1" si="0"/>
        <v>7805.21</v>
      </c>
      <c r="AN51" s="470" cm="1">
        <f t="array" aca="1" ref="AN51" ca="1">ROUND(ORÇAMENTO.CustoUnitario*(1+$AH51),2)</f>
        <v>3.78</v>
      </c>
    </row>
    <row r="52" spans="1:40" ht="38.25" x14ac:dyDescent="0.2">
      <c r="A52" t="str">
        <f t="shared" si="1"/>
        <v>S</v>
      </c>
      <c r="B52">
        <f t="shared" ca="1" si="2"/>
        <v>2</v>
      </c>
      <c r="C52" t="str">
        <f t="shared" ca="1" si="3"/>
        <v>S</v>
      </c>
      <c r="D52">
        <f t="shared" ca="1" si="4"/>
        <v>0</v>
      </c>
      <c r="E52">
        <f ca="1">IF($C52=1,OFFSET(E52,-1,0)+MAX(1,COUNTIF(QCI!$A$13:$A$15,OFFSET(ORÇAMENTO!E52,-1,0))),OFFSET(E52,-1,0))</f>
        <v>1</v>
      </c>
      <c r="F52">
        <f t="shared" ca="1" si="5"/>
        <v>6</v>
      </c>
      <c r="G52">
        <f t="shared" ca="1" si="6"/>
        <v>0</v>
      </c>
      <c r="H52">
        <f t="shared" ca="1" si="7"/>
        <v>0</v>
      </c>
      <c r="I52">
        <f t="shared" ca="1" si="8"/>
        <v>3</v>
      </c>
      <c r="J52">
        <f t="shared" ca="1" si="9"/>
        <v>0</v>
      </c>
      <c r="K52">
        <f ca="1">IF(OR($C52="S",$C52=0),0,MATCH(OFFSET($D52,0,$C52)+IF($C52&lt;&gt;1,1,COUNTIF(QCI!$A$13:$A$15,ORÇAMENTO!E52)),OFFSET($D52,1,$C52,ROW($C$56)-ROW($C52)),0))</f>
        <v>0</v>
      </c>
      <c r="L52" s="114" t="str">
        <f t="shared" ca="1" si="10"/>
        <v>F</v>
      </c>
      <c r="M52" s="115" t="s">
        <v>705</v>
      </c>
      <c r="N52" s="116" t="str">
        <f t="shared" ca="1" si="11"/>
        <v>Serviço</v>
      </c>
      <c r="O52" s="117" t="str">
        <f t="shared" ca="1" si="12"/>
        <v>1.6.3.</v>
      </c>
      <c r="P52" s="118" t="s">
        <v>750</v>
      </c>
      <c r="Q52" s="119" t="s">
        <v>1008</v>
      </c>
      <c r="R52" s="120" t="str" cm="1">
        <f t="array" aca="1" ref="R52" ca="1">IF($C52="S",REFERENCIA.Descricao,"(digite a descrição aqui)")</f>
        <v>EXECUÇÃO DE PAVIMENTO COM APLICAÇÃO DE CONCRETO ASFÁLTICO, CAMADA DE ROLAMENTO - EXCLUSIVE CARGA E TRANSPORTE. AF_10/2025</v>
      </c>
      <c r="S52" s="121" t="str" cm="1">
        <f t="array" aca="1" ref="S52" ca="1">REFERENCIA.Unidade</f>
        <v>M3</v>
      </c>
      <c r="T52" s="122">
        <f ca="1">OFFSET(CÁLCULO!H$15,ROW($T52)-ROW(T$15),0)</f>
        <v>72.27</v>
      </c>
      <c r="U52" s="123">
        <v>1493.89</v>
      </c>
      <c r="V52" s="124" t="s">
        <v>663</v>
      </c>
      <c r="W52" s="122" cm="1">
        <f t="array" aca="1" ref="W52" ca="1">IF($C52="S",ROUND(IF(TIPOORCAMENTO="Proposto",ORÇAMENTO.CustoUnitario*(1+$AH52),ORÇAMENTO.PrecoUnitarioLicitado),15-13*$AF$10),0)</f>
        <v>1857.35</v>
      </c>
      <c r="X52" s="125" cm="1">
        <f t="array" aca="1" ref="X52" ca="1">IF($C52="S",IF(OR(Import.TipoArredondamento&lt;&gt;"TransfereGOV",ACOMPANHAMENTO="BM"),VTOTAL1,SUM(OFFSET(CÁLCULO!$AA$15,ROW($X52)-ROW($X$15),1):OFFSET(CÁLCULO!$AL$15,ROW($X52)-ROW($X$15),-1))),IF($C52=0,0,ROUND(SomaAgrup,15-13*$AF$11)))</f>
        <v>134230.68</v>
      </c>
      <c r="Y52" s="126" t="s">
        <v>751</v>
      </c>
      <c r="Z52" t="str">
        <f t="shared" ca="1" si="13"/>
        <v>RA</v>
      </c>
      <c r="AA52" s="127" cm="1">
        <f t="array" aca="1" ref="AA52" ca="1">IF($C52="S",IF($Z52="CP",$X52,IF($Z52="RA",(($X52)*QCI!$AA$3),0)),SomaAgrup)</f>
        <v>15098.205954125246</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IF(C52&lt;=CRONO.NivelExibicao,MAX($AD$15:OFFSET(AD52,-1,0))+IF($C52&lt;&gt;1,1,MAX(1,COUNTIF(QCI!$A$13:$A$15,OFFSET($E52,-1,0)))),"")</f>
        <v/>
      </c>
      <c r="AE52" s="7" t="str" cm="1">
        <f t="array" aca="1" ref="AE52" ca="1">IF(AND($C52="S",ORÇAMENTO.CodBarra&lt;&gt;""),IF(ORÇAMENTO.Fonte="",ORÇAMENTO.CodBarra,CONCATENATE(ORÇAMENTO.Fonte," ",ORÇAMENTO.CodBarra)))</f>
        <v>SINAPI 95995</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6354</v>
      </c>
      <c r="AG52" s="428" cm="1">
        <f t="array" aca="1" ref="AG52" ca="1">ROUND(IF(DESONERACAO="sim",REFERENCIA.Desonerado,REFERENCIA.NaoDesonerado),2)</f>
        <v>1493.89</v>
      </c>
      <c r="AH52" s="429">
        <f t="shared" ca="1" si="14"/>
        <v>0.24329999999999999</v>
      </c>
      <c r="AJ52" s="431"/>
      <c r="AL52" s="439">
        <v>1381.98</v>
      </c>
      <c r="AM52" s="336">
        <f t="shared" ca="1" si="0"/>
        <v>134230.68</v>
      </c>
      <c r="AN52" s="470" cm="1">
        <f t="array" aca="1" ref="AN52" ca="1">ROUND(ORÇAMENTO.CustoUnitario*(1+$AH52),2)</f>
        <v>1857.35</v>
      </c>
    </row>
    <row r="53" spans="1:40" ht="38.25" x14ac:dyDescent="0.2">
      <c r="A53" t="str">
        <f t="shared" si="1"/>
        <v>S</v>
      </c>
      <c r="B53">
        <f t="shared" ca="1" si="2"/>
        <v>2</v>
      </c>
      <c r="C53" t="str">
        <f t="shared" ca="1" si="3"/>
        <v>S</v>
      </c>
      <c r="D53">
        <f t="shared" ca="1" si="4"/>
        <v>0</v>
      </c>
      <c r="E53">
        <f ca="1">IF($C53=1,OFFSET(E53,-1,0)+MAX(1,COUNTIF(QCI!$A$13:$A$15,OFFSET(ORÇAMENTO!E53,-1,0))),OFFSET(E53,-1,0))</f>
        <v>1</v>
      </c>
      <c r="F53">
        <f t="shared" ca="1" si="5"/>
        <v>6</v>
      </c>
      <c r="G53">
        <f t="shared" ca="1" si="6"/>
        <v>0</v>
      </c>
      <c r="H53">
        <f t="shared" ca="1" si="7"/>
        <v>0</v>
      </c>
      <c r="I53">
        <f t="shared" ca="1" si="8"/>
        <v>4</v>
      </c>
      <c r="J53">
        <f t="shared" ca="1" si="9"/>
        <v>0</v>
      </c>
      <c r="K53">
        <f ca="1">IF(OR($C53="S",$C53=0),0,MATCH(OFFSET($D53,0,$C53)+IF($C53&lt;&gt;1,1,COUNTIF(QCI!$A$13:$A$15,ORÇAMENTO!E53)),OFFSET($D53,1,$C53,ROW($C$56)-ROW($C53)),0))</f>
        <v>0</v>
      </c>
      <c r="L53" s="114" t="str">
        <f t="shared" ca="1" si="10"/>
        <v>F</v>
      </c>
      <c r="M53" s="115" t="s">
        <v>705</v>
      </c>
      <c r="N53" s="116" t="str">
        <f t="shared" ca="1" si="11"/>
        <v>Serviço</v>
      </c>
      <c r="O53" s="117" t="str">
        <f t="shared" ca="1" si="12"/>
        <v>1.6.4.</v>
      </c>
      <c r="P53" s="118" t="s">
        <v>750</v>
      </c>
      <c r="Q53" s="119" t="s">
        <v>1035</v>
      </c>
      <c r="R53" s="120" t="str" cm="1">
        <f t="array" aca="1" ref="R53" ca="1">IF($C53="S",REFERENCIA.Descricao,"(digite a descrição aqui)")</f>
        <v>TRANSPORTE COM CAMINHÃO BASCULANTE DE 14 M³, EM VIA URBANA PAVIMENTADA, DMT ATÉ 30 KM (UNIDADE: M3XKM). AF_07/2020</v>
      </c>
      <c r="S53" s="121" t="str" cm="1">
        <f t="array" aca="1" ref="S53" ca="1">REFERENCIA.Unidade</f>
        <v>M3XKM</v>
      </c>
      <c r="T53" s="122">
        <f ca="1">OFFSET(CÁLCULO!H$15,ROW($T53)-ROW(T$15),0)</f>
        <v>2168.11</v>
      </c>
      <c r="U53" s="123">
        <v>2.2400000000000002</v>
      </c>
      <c r="V53" s="124" t="s">
        <v>663</v>
      </c>
      <c r="W53" s="122" cm="1">
        <f t="array" aca="1" ref="W53" ca="1">IF($C53="S",ROUND(IF(TIPOORCAMENTO="Proposto",ORÇAMENTO.CustoUnitario*(1+$AH53),ORÇAMENTO.PrecoUnitarioLicitado),15-13*$AF$10),0)</f>
        <v>2.78</v>
      </c>
      <c r="X53" s="125" cm="1">
        <f t="array" aca="1" ref="X53" ca="1">IF($C53="S",IF(OR(Import.TipoArredondamento&lt;&gt;"TransfereGOV",ACOMPANHAMENTO="BM"),VTOTAL1,SUM(OFFSET(CÁLCULO!$AA$15,ROW($X53)-ROW($X$15),1):OFFSET(CÁLCULO!$AL$15,ROW($X53)-ROW($X$15),-1))),IF($C53=0,0,ROUND(SomaAgrup,15-13*$AF$11)))</f>
        <v>6027.35</v>
      </c>
      <c r="Y53" s="126" t="s">
        <v>751</v>
      </c>
      <c r="Z53" t="str">
        <f t="shared" ca="1" si="13"/>
        <v>RA</v>
      </c>
      <c r="AA53" s="127" cm="1">
        <f t="array" aca="1" ref="AA53" ca="1">IF($C53="S",IF($Z53="CP",$X53,IF($Z53="RA",(($X53)*QCI!$AA$3),0)),SomaAgrup)</f>
        <v>677.95359196270783</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IF(C53&lt;=CRONO.NivelExibicao,MAX($AD$15:OFFSET(AD53,-1,0))+IF($C53&lt;&gt;1,1,MAX(1,COUNTIF(QCI!$A$13:$A$15,OFFSET($E53,-1,0)))),"")</f>
        <v/>
      </c>
      <c r="AE53" s="7" t="str" cm="1">
        <f t="array" aca="1" ref="AE53" ca="1">IF(AND($C53="S",ORÇAMENTO.CodBarra&lt;&gt;""),IF(ORÇAMENTO.Fonte="",ORÇAMENTO.CodBarra,CONCATENATE(ORÇAMENTO.Fonte," ",ORÇAMENTO.CodBarra)))</f>
        <v>SINAPI 95876</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15804</v>
      </c>
      <c r="AG53" s="428" cm="1">
        <f t="array" aca="1" ref="AG53" ca="1">ROUND(IF(DESONERACAO="sim",REFERENCIA.Desonerado,REFERENCIA.NaoDesonerado),2)</f>
        <v>2.2400000000000002</v>
      </c>
      <c r="AH53" s="429">
        <f t="shared" ca="1" si="14"/>
        <v>0.24329999999999999</v>
      </c>
      <c r="AJ53" s="431"/>
      <c r="AL53" s="439">
        <v>1.42</v>
      </c>
      <c r="AM53" s="336">
        <f t="shared" ca="1" si="0"/>
        <v>6027.35</v>
      </c>
      <c r="AN53" s="470" cm="1">
        <f t="array" aca="1" ref="AN53" ca="1">ROUND(ORÇAMENTO.CustoUnitario*(1+$AH53),2)</f>
        <v>2.78</v>
      </c>
    </row>
    <row r="54" spans="1:40" x14ac:dyDescent="0.2">
      <c r="A54">
        <f t="shared" si="1"/>
        <v>2</v>
      </c>
      <c r="B54">
        <f t="shared" ca="1" si="2"/>
        <v>2</v>
      </c>
      <c r="C54">
        <f t="shared" ca="1" si="3"/>
        <v>2</v>
      </c>
      <c r="D54">
        <f t="shared" ca="1" si="4"/>
        <v>2</v>
      </c>
      <c r="E54">
        <f ca="1">IF($C54=1,OFFSET(E54,-1,0)+MAX(1,COUNTIF(QCI!$A$13:$A$15,OFFSET(ORÇAMENTO!E54,-1,0))),OFFSET(E54,-1,0))</f>
        <v>1</v>
      </c>
      <c r="F54">
        <f t="shared" ca="1" si="5"/>
        <v>7</v>
      </c>
      <c r="G54">
        <f t="shared" ca="1" si="6"/>
        <v>0</v>
      </c>
      <c r="H54">
        <f t="shared" ca="1" si="7"/>
        <v>0</v>
      </c>
      <c r="I54">
        <f t="shared" ca="1" si="8"/>
        <v>0</v>
      </c>
      <c r="J54">
        <f t="shared" ca="1" si="9"/>
        <v>2</v>
      </c>
      <c r="K54" t="e">
        <f ca="1">IF(OR($C54="S",$C54=0),0,MATCH(OFFSET($D54,0,$C54)+IF($C54&lt;&gt;1,1,COUNTIF(QCI!$A$13:$A$15,ORÇAMENTO!E54)),OFFSET($D54,1,$C54,ROW($C$56)-ROW($C54)),0))</f>
        <v>#N/A</v>
      </c>
      <c r="L54" s="114" t="str">
        <f t="shared" ca="1" si="10"/>
        <v>F</v>
      </c>
      <c r="M54" s="115" t="s">
        <v>702</v>
      </c>
      <c r="N54" s="116" t="str">
        <f t="shared" ca="1" si="11"/>
        <v>Nível 2</v>
      </c>
      <c r="O54" s="117" t="str">
        <f t="shared" ca="1" si="12"/>
        <v>1.7.</v>
      </c>
      <c r="P54" s="118" t="s">
        <v>750</v>
      </c>
      <c r="Q54" s="119"/>
      <c r="R54" s="120" t="s">
        <v>1046</v>
      </c>
      <c r="S54" s="121" t="str" cm="1">
        <f t="array" aca="1" ref="S54" ca="1">REFERENCIA.Unidade</f>
        <v>-</v>
      </c>
      <c r="T54" s="122">
        <f ca="1">OFFSET(CÁLCULO!H$15,ROW($T54)-ROW(T$15),0)</f>
        <v>0</v>
      </c>
      <c r="U54" s="123"/>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3093.08</v>
      </c>
      <c r="Y54" s="126" t="s">
        <v>751</v>
      </c>
      <c r="Z54" t="str">
        <f t="shared" ca="1" si="13"/>
        <v/>
      </c>
      <c r="AA54" s="127" cm="1">
        <f t="array" aca="1" ref="AA54" ca="1">IF($C54="S",IF($Z54="CP",$X54,IF($Z54="RA",(($X54)*QCI!$AA$3),0)),SomaAgrup)</f>
        <v>347.9082343364849</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f ca="1">IF(C54&lt;=CRONO.NivelExibicao,MAX($AD$15:OFFSET(AD54,-1,0))+IF($C54&lt;&gt;1,1,MAX(1,COUNTIF(QCI!$A$13:$A$15,OFFSET($E54,-1,0)))),"")</f>
        <v>8</v>
      </c>
      <c r="AE54" s="7" t="b" cm="1">
        <f t="array" aca="1" ref="AE54" ca="1">IF(AND($C54="S",ORÇAMENTO.CodBarra&lt;&gt;""),IF(ORÇAMENTO.Fonte="",ORÇAMENTO.CodBarra,CONCATENATE(ORÇAMENTO.Fonte," ",ORÇAMENTO.CodBarra)))</f>
        <v>0</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ca="1" si="14"/>
        <v>0.24329999999999999</v>
      </c>
      <c r="AJ54" s="431"/>
      <c r="AL54" s="439"/>
      <c r="AM54" s="336">
        <f t="shared" ca="1" si="0"/>
        <v>3093.08</v>
      </c>
      <c r="AN54" s="470" cm="1">
        <f t="array" aca="1" ref="AN54" ca="1">ROUND(ORÇAMENTO.CustoUnitario*(1+$AH54),2)</f>
        <v>0</v>
      </c>
    </row>
    <row r="55" spans="1:40" ht="25.5" x14ac:dyDescent="0.2">
      <c r="A55" t="str">
        <f t="shared" si="1"/>
        <v>S</v>
      </c>
      <c r="B55">
        <f t="shared" ca="1" si="2"/>
        <v>2</v>
      </c>
      <c r="C55" t="str">
        <f t="shared" ca="1" si="3"/>
        <v>S</v>
      </c>
      <c r="D55">
        <f t="shared" ca="1" si="4"/>
        <v>0</v>
      </c>
      <c r="E55">
        <f ca="1">IF($C55=1,OFFSET(E55,-1,0)+MAX(1,COUNTIF(QCI!$A$13:$A$15,OFFSET(ORÇAMENTO!E55,-1,0))),OFFSET(E55,-1,0))</f>
        <v>1</v>
      </c>
      <c r="F55">
        <f t="shared" ca="1" si="5"/>
        <v>7</v>
      </c>
      <c r="G55">
        <f t="shared" ca="1" si="6"/>
        <v>0</v>
      </c>
      <c r="H55">
        <f t="shared" ca="1" si="7"/>
        <v>0</v>
      </c>
      <c r="I55">
        <f t="shared" ca="1" si="8"/>
        <v>1</v>
      </c>
      <c r="J55">
        <f t="shared" ca="1" si="9"/>
        <v>0</v>
      </c>
      <c r="K55">
        <f ca="1">IF(OR($C55="S",$C55=0),0,MATCH(OFFSET($D55,0,$C55)+IF($C55&lt;&gt;1,1,COUNTIF(QCI!$A$13:$A$15,ORÇAMENTO!E55)),OFFSET($D55,1,$C55,ROW($C$56)-ROW($C55)),0))</f>
        <v>0</v>
      </c>
      <c r="L55" s="114" t="str">
        <f t="shared" ca="1" si="10"/>
        <v>F</v>
      </c>
      <c r="M55" s="115" t="s">
        <v>705</v>
      </c>
      <c r="N55" s="116" t="str">
        <f t="shared" ca="1" si="11"/>
        <v>Serviço</v>
      </c>
      <c r="O55" s="117" t="str">
        <f t="shared" ca="1" si="12"/>
        <v>1.7.1.</v>
      </c>
      <c r="P55" s="118" t="s">
        <v>1012</v>
      </c>
      <c r="Q55" s="119" t="s">
        <v>1048</v>
      </c>
      <c r="R55" s="120" t="s">
        <v>1047</v>
      </c>
      <c r="S55" s="121" t="s">
        <v>623</v>
      </c>
      <c r="T55" s="122">
        <f ca="1">OFFSET(CÁLCULO!H$15,ROW($T55)-ROW(T$15),0)</f>
        <v>10665.78</v>
      </c>
      <c r="U55" s="123">
        <v>0.23</v>
      </c>
      <c r="V55" s="124" t="s">
        <v>663</v>
      </c>
      <c r="W55" s="122" cm="1">
        <f t="array" aca="1" ref="W55" ca="1">IF($C55="S",ROUND(IF(TIPOORCAMENTO="Proposto",ORÇAMENTO.CustoUnitario*(1+$AH55),ORÇAMENTO.PrecoUnitarioLicitado),15-13*$AF$10),0)</f>
        <v>0.28999999999999998</v>
      </c>
      <c r="X55" s="125" cm="1">
        <f t="array" aca="1" ref="X55" ca="1">IF($C55="S",IF(OR(Import.TipoArredondamento&lt;&gt;"TransfereGOV",ACOMPANHAMENTO="BM"),VTOTAL1,SUM(OFFSET(CÁLCULO!$AA$15,ROW($X55)-ROW($X$15),1):OFFSET(CÁLCULO!$AL$15,ROW($X55)-ROW($X$15),-1))),IF($C55=0,0,ROUND(SomaAgrup,15-13*$AF$11)))</f>
        <v>3093.08</v>
      </c>
      <c r="Y55" s="126" t="s">
        <v>751</v>
      </c>
      <c r="Z55" t="str">
        <f t="shared" ca="1" si="13"/>
        <v>RA</v>
      </c>
      <c r="AA55" s="127" cm="1">
        <f t="array" aca="1" ref="AA55" ca="1">IF($C55="S",IF($Z55="CP",$X55,IF($Z55="RA",(($X55)*QCI!$AA$3),0)),SomaAgrup)</f>
        <v>347.9082343364849</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ACIMA REF.</v>
      </c>
      <c r="AD55" t="str">
        <f ca="1">IF(C55&lt;=CRONO.NivelExibicao,MAX($AD$15:OFFSET(AD55,-1,0))+IF($C55&lt;&gt;1,1,MAX(1,COUNTIF(QCI!$A$13:$A$15,OFFSET($E55,-1,0)))),"")</f>
        <v/>
      </c>
      <c r="AE55" s="7" t="str" cm="1">
        <f t="array" aca="1" ref="AE55" ca="1">IF(AND($C55="S",ORÇAMENTO.CodBarra&lt;&gt;""),IF(ORÇAMENTO.Fonte="",ORÇAMENTO.CodBarra,CONCATENATE(ORÇAMENTO.Fonte," ",ORÇAMENTO.CodBarra)))</f>
        <v>CDHU 01.20.280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14"/>
        <v>0.24329999999999999</v>
      </c>
      <c r="AJ55" s="431"/>
      <c r="AL55" s="439">
        <v>0.73</v>
      </c>
      <c r="AM55" s="336">
        <f t="shared" ca="1" si="0"/>
        <v>3093.08</v>
      </c>
      <c r="AN55" s="470" cm="1">
        <f t="array" aca="1" ref="AN55" ca="1">ROUND(ORÇAMENTO.CustoUnitario*(1+$AH55),2)</f>
        <v>0.28999999999999998</v>
      </c>
    </row>
    <row r="56" spans="1:40" ht="5.0999999999999996" customHeight="1" x14ac:dyDescent="0.2">
      <c r="A56">
        <v>-1</v>
      </c>
      <c r="C56">
        <v>-1</v>
      </c>
      <c r="E56">
        <v>0</v>
      </c>
      <c r="F56">
        <v>0</v>
      </c>
      <c r="G56">
        <v>0</v>
      </c>
      <c r="H56">
        <v>0</v>
      </c>
      <c r="I56">
        <v>0</v>
      </c>
      <c r="L56" s="114" t="s">
        <v>536</v>
      </c>
      <c r="M56" s="616"/>
      <c r="N56" s="424"/>
      <c r="O56" s="616"/>
      <c r="P56" s="617"/>
      <c r="Q56" s="617"/>
      <c r="R56" s="617"/>
      <c r="S56" s="617"/>
      <c r="T56" s="617"/>
      <c r="U56" s="617"/>
      <c r="V56" s="617"/>
      <c r="W56" s="617"/>
      <c r="X56" s="424"/>
      <c r="Y56" s="424"/>
      <c r="AC56" s="565" t="str" cm="1">
        <f t="array" ref="AC56">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F56" s="12"/>
      <c r="AG56" s="618"/>
      <c r="AH56" s="419"/>
      <c r="AJ56" s="425"/>
      <c r="AL56" s="618"/>
      <c r="AM56" s="619"/>
      <c r="AN56" s="419"/>
    </row>
    <row r="57" spans="1:40" x14ac:dyDescent="0.2">
      <c r="AF57" s="12"/>
    </row>
    <row r="58" spans="1:40" x14ac:dyDescent="0.2">
      <c r="AF58" s="12"/>
    </row>
    <row r="59" spans="1:40" ht="14.25" x14ac:dyDescent="0.2">
      <c r="O59" s="134" t="s">
        <v>753</v>
      </c>
      <c r="Q59" s="727" t="s">
        <v>754</v>
      </c>
      <c r="R59" s="727"/>
      <c r="S59" s="727"/>
      <c r="T59" s="727"/>
      <c r="U59" s="727"/>
      <c r="V59" s="727"/>
      <c r="W59" s="727"/>
      <c r="X59" s="727"/>
      <c r="AF59" s="12"/>
    </row>
    <row r="60" spans="1:40" x14ac:dyDescent="0.2">
      <c r="AF60" s="12"/>
    </row>
    <row r="61" spans="1:40" ht="14.25" x14ac:dyDescent="0.2">
      <c r="O61" s="135" t="s">
        <v>689</v>
      </c>
      <c r="X61" s="4"/>
      <c r="AF61" s="12"/>
    </row>
    <row r="62" spans="1:40" ht="12.75" customHeight="1" x14ac:dyDescent="0.2">
      <c r="O62" s="692"/>
      <c r="P62" s="692"/>
      <c r="Q62" s="692"/>
      <c r="R62" s="692"/>
      <c r="S62" s="692"/>
      <c r="T62" s="692"/>
      <c r="U62" s="692"/>
      <c r="V62" s="692"/>
      <c r="W62" s="692"/>
      <c r="X62" s="692"/>
      <c r="AF62" s="12"/>
    </row>
    <row r="63" spans="1:40" x14ac:dyDescent="0.2">
      <c r="O63" s="692"/>
      <c r="P63" s="692"/>
      <c r="Q63" s="692"/>
      <c r="R63" s="692"/>
      <c r="S63" s="692"/>
      <c r="T63" s="692"/>
      <c r="U63" s="692"/>
      <c r="V63" s="692"/>
      <c r="W63" s="692"/>
      <c r="X63" s="692"/>
      <c r="AF63" s="12"/>
    </row>
    <row r="64" spans="1:40" x14ac:dyDescent="0.2">
      <c r="O64" s="692"/>
      <c r="P64" s="692"/>
      <c r="Q64" s="692"/>
      <c r="R64" s="692"/>
      <c r="S64" s="692"/>
      <c r="T64" s="692"/>
      <c r="U64" s="692"/>
      <c r="V64" s="692"/>
      <c r="W64" s="692"/>
      <c r="X64" s="692"/>
      <c r="AF64" s="12"/>
    </row>
    <row r="65" spans="15:32" ht="14.25" x14ac:dyDescent="0.2">
      <c r="O65" s="443"/>
      <c r="P65" s="443"/>
      <c r="Q65" s="443"/>
      <c r="R65" s="443"/>
      <c r="S65" s="443"/>
      <c r="T65" s="443"/>
      <c r="U65" s="443"/>
      <c r="V65" s="443"/>
      <c r="W65" s="443"/>
      <c r="X65" s="443"/>
      <c r="Y65" s="443"/>
      <c r="Z65" s="136"/>
      <c r="AA65" s="136"/>
      <c r="AB65" s="136"/>
      <c r="AF65" s="12"/>
    </row>
    <row r="66" spans="15:32" ht="15" x14ac:dyDescent="0.25">
      <c r="O66" s="72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6" s="728"/>
      <c r="Q66" s="728"/>
      <c r="R66" s="728"/>
      <c r="S66" s="728"/>
      <c r="T66" s="728"/>
      <c r="U66" s="728"/>
      <c r="V66" s="728"/>
      <c r="W66" s="728"/>
      <c r="X66" s="728"/>
      <c r="Y66" s="137"/>
      <c r="Z66" s="137"/>
      <c r="AA66" s="137"/>
      <c r="AB66" s="137"/>
      <c r="AF66" s="12"/>
    </row>
    <row r="67" spans="15:32" ht="15" customHeight="1" x14ac:dyDescent="0.25">
      <c r="O67" s="729" t="s">
        <v>755</v>
      </c>
      <c r="P67" s="729"/>
      <c r="Q67" s="729"/>
      <c r="R67" s="729"/>
      <c r="S67" s="729"/>
      <c r="T67" s="729"/>
      <c r="U67" s="729"/>
      <c r="V67" s="729"/>
      <c r="W67" s="729"/>
      <c r="X67" s="729"/>
      <c r="Y67" s="137"/>
      <c r="Z67" s="137"/>
      <c r="AA67" s="137"/>
      <c r="AB67" s="137"/>
      <c r="AF67" s="12"/>
    </row>
    <row r="68" spans="15:32" x14ac:dyDescent="0.2">
      <c r="AF68" s="12"/>
    </row>
    <row r="69" spans="15:32" ht="30" customHeight="1" x14ac:dyDescent="0.2">
      <c r="O69" s="693" t="str">
        <f>Import.Município</f>
        <v>PILAR DO SUL</v>
      </c>
      <c r="P69" s="693"/>
      <c r="Q69" s="693"/>
      <c r="S69" s="460"/>
      <c r="T69" s="460"/>
      <c r="U69" s="460"/>
      <c r="V69" s="460"/>
      <c r="W69" s="417"/>
      <c r="AF69" s="12"/>
    </row>
    <row r="70" spans="15:32" x14ac:dyDescent="0.2">
      <c r="O70" s="9" t="s">
        <v>693</v>
      </c>
      <c r="S70" s="181" t="s">
        <v>696</v>
      </c>
      <c r="T70" s="181"/>
      <c r="U70" s="181"/>
      <c r="V70" s="181"/>
      <c r="AF70" s="12"/>
    </row>
    <row r="71" spans="15:32" x14ac:dyDescent="0.2">
      <c r="S71" s="77" t="s">
        <v>240</v>
      </c>
      <c r="T71" s="78" t="str">
        <f t="array" ref="T71:T73">Import.RespOrçamento</f>
        <v>EDUARDO OLIVEIRA DOS SANTOS JUNIOR</v>
      </c>
      <c r="V71" s="79"/>
      <c r="AF71" s="12"/>
    </row>
    <row r="72" spans="15:32" x14ac:dyDescent="0.2">
      <c r="O72" s="691">
        <f ca="1">DADOS!$C$25</f>
        <v>46142</v>
      </c>
      <c r="P72" s="691"/>
      <c r="Q72" s="691"/>
      <c r="S72" s="77" t="s">
        <v>243</v>
      </c>
      <c r="T72" s="78" t="str">
        <v>5069244515-SP</v>
      </c>
      <c r="U72" s="79"/>
      <c r="V72" s="79"/>
      <c r="AF72" s="12"/>
    </row>
    <row r="73" spans="15:32" x14ac:dyDescent="0.2">
      <c r="O73" s="140" t="s">
        <v>694</v>
      </c>
      <c r="P73" s="1"/>
      <c r="Q73" s="1"/>
      <c r="S73" s="77" t="s">
        <v>246</v>
      </c>
      <c r="T73" s="78" t="str">
        <v>2620260743929</v>
      </c>
      <c r="U73" s="79"/>
      <c r="V73" s="79"/>
      <c r="AF73" s="12"/>
    </row>
    <row r="74" spans="15:32" x14ac:dyDescent="0.2">
      <c r="AF74" s="12"/>
    </row>
    <row r="75" spans="15:32" x14ac:dyDescent="0.2">
      <c r="AF75" s="12"/>
    </row>
    <row r="76" spans="15:32" x14ac:dyDescent="0.2">
      <c r="AF76" s="12"/>
    </row>
    <row r="77" spans="15:32" x14ac:dyDescent="0.2">
      <c r="AF77" s="12"/>
    </row>
    <row r="78" spans="15:32" x14ac:dyDescent="0.2">
      <c r="AF78" s="12"/>
    </row>
    <row r="79" spans="15:32" x14ac:dyDescent="0.2">
      <c r="AF79" s="12"/>
    </row>
    <row r="80" spans="15: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sheetData>
  <sheetProtection algorithmName="SHA-512" hashValue="HHkSbX262KzjHz87XMFQqxHLaY67zXKOLSRIRK+BTl6LIQ0TtRkinROHb1HnMfZLDWgJ4tL925R937t1Z/OOxg==" saltValue="giJXqYYDidYcCQACcRk4Ug==" spinCount="100000" sheet="1" objects="1" scenarios="1" autoFilter="0"/>
  <autoFilter ref="L15:L56"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72:Q72"/>
    <mergeCell ref="O15:R15"/>
    <mergeCell ref="Q59:X59"/>
    <mergeCell ref="O62:X64"/>
    <mergeCell ref="O66:X66"/>
    <mergeCell ref="O69:Q69"/>
    <mergeCell ref="O67:X67"/>
  </mergeCells>
  <phoneticPr fontId="38" type="noConversion"/>
  <conditionalFormatting sqref="M14 M51:M55 M16:M19">
    <cfRule type="cellIs" dxfId="352" priority="43179" stopIfTrue="1" operator="notEqual">
      <formula>$N14</formula>
    </cfRule>
  </conditionalFormatting>
  <conditionalFormatting sqref="N14:O14 W14 W19 W51:X55 N51:O55 R44:R55 W16:X18 N16:O19 R16:R20 R23:R27">
    <cfRule type="expression" dxfId="351" priority="43180" stopIfTrue="1">
      <formula>$C14=1</formula>
    </cfRule>
    <cfRule type="expression" dxfId="350" priority="43181" stopIfTrue="1">
      <formula>OR($C14=0,$C14=2,$C14=3,$C14=4)</formula>
    </cfRule>
  </conditionalFormatting>
  <conditionalFormatting sqref="U14:V14 U16:V55">
    <cfRule type="expression" dxfId="349" priority="43182" stopIfTrue="1">
      <formula>$C14=1</formula>
    </cfRule>
    <cfRule type="expression" dxfId="348" priority="43183" stopIfTrue="1">
      <formula>OR($C14=0,$C14=2,$C14=3,$C14=4)</formula>
    </cfRule>
    <cfRule type="expression" dxfId="347" priority="43184" stopIfTrue="1">
      <formula>AND(TIPOORCAMENTO="Licitado",$C14&lt;&gt;"L",$C14&lt;&gt;-1)</formula>
    </cfRule>
  </conditionalFormatting>
  <conditionalFormatting sqref="P14:Q14 S14:T14 Y14 AG14:AH14 S33:S35 S28:T32 Y28:Y32 AG28:AH32 S39:T43 Y39:Y43 AG39:AH43 S44:S55 Y51:Y55 AG51:AH55 T51:T55 Y16:Y19 AG16:AH19 T16:T19 S16:S20 S37:S38 S36:T36 Y36 AG36:AH36 S23:S27 P16:Q55 S21:T22 Y21:Y22 AG21:AH22">
    <cfRule type="expression" dxfId="346" priority="43185" stopIfTrue="1">
      <formula>$C14=1</formula>
    </cfRule>
    <cfRule type="expression" dxfId="345" priority="43186" stopIfTrue="1">
      <formula>OR($C14=0,$C14=2,$C14=3,$C14=4)</formula>
    </cfRule>
  </conditionalFormatting>
  <conditionalFormatting sqref="AJ7:AJ56">
    <cfRule type="expression" dxfId="344" priority="43187" stopIfTrue="1">
      <formula>OR(ACOMPANHAMENTO&lt;&gt;"BM",TIPOORCAMENTO="Licitado")</formula>
    </cfRule>
    <cfRule type="expression" dxfId="343" priority="43188" stopIfTrue="1">
      <formula>$C7=1</formula>
    </cfRule>
    <cfRule type="expression" dxfId="342" priority="43189" stopIfTrue="1">
      <formula>OR(AND(ISNUMBER($C7),$C7=0),$C7=2,$C7=3,$C7=4)</formula>
    </cfRule>
  </conditionalFormatting>
  <conditionalFormatting sqref="AL7:AL56">
    <cfRule type="expression" dxfId="341" priority="43190" stopIfTrue="1">
      <formula>TIPOORCAMENTO="PROPOSTO"</formula>
    </cfRule>
    <cfRule type="expression" dxfId="340" priority="43191" stopIfTrue="1">
      <formula>$C7=1</formula>
    </cfRule>
    <cfRule type="expression" dxfId="339" priority="43192" stopIfTrue="1">
      <formula>OR(AND(ISNUMBER($C7),$C7=0),$C7=2,$C7=3,$C7=4)</formula>
    </cfRule>
  </conditionalFormatting>
  <conditionalFormatting sqref="O8:P8">
    <cfRule type="expression" dxfId="338" priority="43196" stopIfTrue="1">
      <formula>ISERROR(INDIRECT($F$9))</formula>
    </cfRule>
  </conditionalFormatting>
  <conditionalFormatting sqref="S7:V8">
    <cfRule type="expression" dxfId="337" priority="43197" stopIfTrue="1">
      <formula>TIPOORCAMENTO="Proposto"</formula>
    </cfRule>
  </conditionalFormatting>
  <conditionalFormatting sqref="S9:X9">
    <cfRule type="expression" dxfId="336" priority="43144" stopIfTrue="1">
      <formula>TIPOORCAMENTO="Proposto"</formula>
    </cfRule>
  </conditionalFormatting>
  <conditionalFormatting sqref="AM7:AN56">
    <cfRule type="expression" dxfId="335" priority="43193" stopIfTrue="1">
      <formula>TIPOORCAMENTO="PROPOSTO"</formula>
    </cfRule>
    <cfRule type="expression" dxfId="334" priority="43194" stopIfTrue="1">
      <formula>$C7=1</formula>
    </cfRule>
    <cfRule type="expression" dxfId="333" priority="43195" stopIfTrue="1">
      <formula>OR(AND(ISNUMBER($C7),$C7=0),$C7=2,$C7=3,$C7=4)</formula>
    </cfRule>
  </conditionalFormatting>
  <conditionalFormatting sqref="X14">
    <cfRule type="expression" dxfId="332" priority="28769" stopIfTrue="1">
      <formula>$C14=1</formula>
    </cfRule>
    <cfRule type="expression" dxfId="331" priority="28770" stopIfTrue="1">
      <formula>OR($C14=0,$C14=2,$C14=3,$C14=4)</formula>
    </cfRule>
  </conditionalFormatting>
  <conditionalFormatting sqref="AC11">
    <cfRule type="cellIs" dxfId="330" priority="19604" operator="equal">
      <formula>"OK"</formula>
    </cfRule>
  </conditionalFormatting>
  <conditionalFormatting sqref="R14">
    <cfRule type="expression" dxfId="329" priority="4536" stopIfTrue="1">
      <formula>$C14=1</formula>
    </cfRule>
    <cfRule type="expression" dxfId="328" priority="4537" stopIfTrue="1">
      <formula>OR($C14=0,$C14=2,$C14=3,$C14=4)</formula>
    </cfRule>
  </conditionalFormatting>
  <conditionalFormatting sqref="R14 R16:R55">
    <cfRule type="beginsWith" dxfId="327" priority="4535" operator="beginsWith" text="(">
      <formula>LEFT(R14,LEN("("))="("</formula>
    </cfRule>
  </conditionalFormatting>
  <conditionalFormatting sqref="M20 M33:M35 M23:M27">
    <cfRule type="cellIs" dxfId="326" priority="455" stopIfTrue="1" operator="notEqual">
      <formula>$N20</formula>
    </cfRule>
  </conditionalFormatting>
  <conditionalFormatting sqref="N20:O20 W20 W33:W35 N33:O35 W23:W27 N23:O27">
    <cfRule type="expression" dxfId="325" priority="456" stopIfTrue="1">
      <formula>$C20=1</formula>
    </cfRule>
    <cfRule type="expression" dxfId="324" priority="457" stopIfTrue="1">
      <formula>OR($C20=0,$C20=2,$C20=3,$C20=4)</formula>
    </cfRule>
  </conditionalFormatting>
  <conditionalFormatting sqref="Y20 AG20:AH20 T20 T33:T35 AG33:AH35 Y33:Y35 T23:T27 AG23:AH27 Y23:Y27">
    <cfRule type="expression" dxfId="323" priority="461" stopIfTrue="1">
      <formula>$C20=1</formula>
    </cfRule>
    <cfRule type="expression" dxfId="322" priority="462" stopIfTrue="1">
      <formula>OR($C20=0,$C20=2,$C20=3,$C20=4)</formula>
    </cfRule>
  </conditionalFormatting>
  <conditionalFormatting sqref="X20 X33:X35 X23:X27">
    <cfRule type="expression" dxfId="321" priority="453" stopIfTrue="1">
      <formula>$C20=1</formula>
    </cfRule>
    <cfRule type="expression" dxfId="320" priority="454" stopIfTrue="1">
      <formula>OR($C20=0,$C20=2,$C20=3,$C20=4)</formula>
    </cfRule>
  </conditionalFormatting>
  <conditionalFormatting sqref="M37:M38 M44:M50">
    <cfRule type="cellIs" dxfId="319" priority="442" stopIfTrue="1" operator="notEqual">
      <formula>$N37</formula>
    </cfRule>
  </conditionalFormatting>
  <conditionalFormatting sqref="N37:O38 W37:W38 W44:W50 N44:O50">
    <cfRule type="expression" dxfId="318" priority="443" stopIfTrue="1">
      <formula>$C37=1</formula>
    </cfRule>
    <cfRule type="expression" dxfId="317" priority="444" stopIfTrue="1">
      <formula>OR($C37=0,$C37=2,$C37=3,$C37=4)</formula>
    </cfRule>
  </conditionalFormatting>
  <conditionalFormatting sqref="Y37:Y38 AG37:AH38 T37:T38 T44:T50 AG44:AH50 Y44:Y50">
    <cfRule type="expression" dxfId="316" priority="448" stopIfTrue="1">
      <formula>$C37=1</formula>
    </cfRule>
    <cfRule type="expression" dxfId="315" priority="449" stopIfTrue="1">
      <formula>OR($C37=0,$C37=2,$C37=3,$C37=4)</formula>
    </cfRule>
  </conditionalFormatting>
  <conditionalFormatting sqref="X37:X38 X44:X50">
    <cfRule type="expression" dxfId="314" priority="440" stopIfTrue="1">
      <formula>$C37=1</formula>
    </cfRule>
    <cfRule type="expression" dxfId="313" priority="441" stopIfTrue="1">
      <formula>OR($C37=0,$C37=2,$C37=3,$C37=4)</formula>
    </cfRule>
  </conditionalFormatting>
  <conditionalFormatting sqref="X19">
    <cfRule type="expression" dxfId="312" priority="52" stopIfTrue="1">
      <formula>$C19=1</formula>
    </cfRule>
    <cfRule type="expression" dxfId="311" priority="53" stopIfTrue="1">
      <formula>OR($C19=0,$C19=2,$C19=3,$C19=4)</formula>
    </cfRule>
  </conditionalFormatting>
  <conditionalFormatting sqref="R33:R35 R37:R38">
    <cfRule type="expression" dxfId="310" priority="43" stopIfTrue="1">
      <formula>$C33=1</formula>
    </cfRule>
    <cfRule type="expression" dxfId="309" priority="44" stopIfTrue="1">
      <formula>OR($C33=0,$C33=2,$C33=3,$C33=4)</formula>
    </cfRule>
  </conditionalFormatting>
  <conditionalFormatting sqref="M28">
    <cfRule type="cellIs" dxfId="308" priority="40" stopIfTrue="1" operator="notEqual">
      <formula>$N28</formula>
    </cfRule>
  </conditionalFormatting>
  <conditionalFormatting sqref="N28:O28 W28">
    <cfRule type="expression" dxfId="307" priority="41" stopIfTrue="1">
      <formula>$C28=1</formula>
    </cfRule>
    <cfRule type="expression" dxfId="306" priority="42" stopIfTrue="1">
      <formula>OR($C28=0,$C28=2,$C28=3,$C28=4)</formula>
    </cfRule>
  </conditionalFormatting>
  <conditionalFormatting sqref="X28">
    <cfRule type="expression" dxfId="305" priority="38" stopIfTrue="1">
      <formula>$C28=1</formula>
    </cfRule>
    <cfRule type="expression" dxfId="304" priority="39" stopIfTrue="1">
      <formula>OR($C28=0,$C28=2,$C28=3,$C28=4)</formula>
    </cfRule>
  </conditionalFormatting>
  <conditionalFormatting sqref="R28">
    <cfRule type="expression" dxfId="303" priority="36" stopIfTrue="1">
      <formula>$C28=1</formula>
    </cfRule>
    <cfRule type="expression" dxfId="302" priority="37" stopIfTrue="1">
      <formula>OR($C28=0,$C28=2,$C28=3,$C28=4)</formula>
    </cfRule>
  </conditionalFormatting>
  <conditionalFormatting sqref="M29:M32">
    <cfRule type="cellIs" dxfId="301" priority="33" stopIfTrue="1" operator="notEqual">
      <formula>$N29</formula>
    </cfRule>
  </conditionalFormatting>
  <conditionalFormatting sqref="N29:O32 W29:W32">
    <cfRule type="expression" dxfId="300" priority="34" stopIfTrue="1">
      <formula>$C29=1</formula>
    </cfRule>
    <cfRule type="expression" dxfId="299" priority="35" stopIfTrue="1">
      <formula>OR($C29=0,$C29=2,$C29=3,$C29=4)</formula>
    </cfRule>
  </conditionalFormatting>
  <conditionalFormatting sqref="X29:X32">
    <cfRule type="expression" dxfId="298" priority="31" stopIfTrue="1">
      <formula>$C29=1</formula>
    </cfRule>
    <cfRule type="expression" dxfId="297" priority="32" stopIfTrue="1">
      <formula>OR($C29=0,$C29=2,$C29=3,$C29=4)</formula>
    </cfRule>
  </conditionalFormatting>
  <conditionalFormatting sqref="R29:R32">
    <cfRule type="expression" dxfId="296" priority="29" stopIfTrue="1">
      <formula>$C29=1</formula>
    </cfRule>
    <cfRule type="expression" dxfId="295" priority="30" stopIfTrue="1">
      <formula>OR($C29=0,$C29=2,$C29=3,$C29=4)</formula>
    </cfRule>
  </conditionalFormatting>
  <conditionalFormatting sqref="M39:M43">
    <cfRule type="cellIs" dxfId="294" priority="26" stopIfTrue="1" operator="notEqual">
      <formula>$N39</formula>
    </cfRule>
  </conditionalFormatting>
  <conditionalFormatting sqref="N39:O43 W39:W43">
    <cfRule type="expression" dxfId="293" priority="27" stopIfTrue="1">
      <formula>$C39=1</formula>
    </cfRule>
    <cfRule type="expression" dxfId="292" priority="28" stopIfTrue="1">
      <formula>OR($C39=0,$C39=2,$C39=3,$C39=4)</formula>
    </cfRule>
  </conditionalFormatting>
  <conditionalFormatting sqref="X39:X43">
    <cfRule type="expression" dxfId="291" priority="24" stopIfTrue="1">
      <formula>$C39=1</formula>
    </cfRule>
    <cfRule type="expression" dxfId="290" priority="25" stopIfTrue="1">
      <formula>OR($C39=0,$C39=2,$C39=3,$C39=4)</formula>
    </cfRule>
  </conditionalFormatting>
  <conditionalFormatting sqref="R39:R43">
    <cfRule type="expression" dxfId="289" priority="22" stopIfTrue="1">
      <formula>$C39=1</formula>
    </cfRule>
    <cfRule type="expression" dxfId="288" priority="23" stopIfTrue="1">
      <formula>OR($C39=0,$C39=2,$C39=3,$C39=4)</formula>
    </cfRule>
  </conditionalFormatting>
  <conditionalFormatting sqref="M36">
    <cfRule type="cellIs" dxfId="287" priority="19" stopIfTrue="1" operator="notEqual">
      <formula>$N36</formula>
    </cfRule>
  </conditionalFormatting>
  <conditionalFormatting sqref="N36:O36 W36">
    <cfRule type="expression" dxfId="286" priority="20" stopIfTrue="1">
      <formula>$C36=1</formula>
    </cfRule>
    <cfRule type="expression" dxfId="285" priority="21" stopIfTrue="1">
      <formula>OR($C36=0,$C36=2,$C36=3,$C36=4)</formula>
    </cfRule>
  </conditionalFormatting>
  <conditionalFormatting sqref="X36">
    <cfRule type="expression" dxfId="284" priority="17" stopIfTrue="1">
      <formula>$C36=1</formula>
    </cfRule>
    <cfRule type="expression" dxfId="283" priority="18" stopIfTrue="1">
      <formula>OR($C36=0,$C36=2,$C36=3,$C36=4)</formula>
    </cfRule>
  </conditionalFormatting>
  <conditionalFormatting sqref="R36">
    <cfRule type="expression" dxfId="282" priority="15" stopIfTrue="1">
      <formula>$C36=1</formula>
    </cfRule>
    <cfRule type="expression" dxfId="281" priority="16" stopIfTrue="1">
      <formula>OR($C36=0,$C36=2,$C36=3,$C36=4)</formula>
    </cfRule>
  </conditionalFormatting>
  <conditionalFormatting sqref="M21">
    <cfRule type="cellIs" dxfId="280" priority="12" stopIfTrue="1" operator="notEqual">
      <formula>$N21</formula>
    </cfRule>
  </conditionalFormatting>
  <conditionalFormatting sqref="N21:O21 W21">
    <cfRule type="expression" dxfId="279" priority="13" stopIfTrue="1">
      <formula>$C21=1</formula>
    </cfRule>
    <cfRule type="expression" dxfId="278" priority="14" stopIfTrue="1">
      <formula>OR($C21=0,$C21=2,$C21=3,$C21=4)</formula>
    </cfRule>
  </conditionalFormatting>
  <conditionalFormatting sqref="X21">
    <cfRule type="expression" dxfId="277" priority="10" stopIfTrue="1">
      <formula>$C21=1</formula>
    </cfRule>
    <cfRule type="expression" dxfId="276" priority="11" stopIfTrue="1">
      <formula>OR($C21=0,$C21=2,$C21=3,$C21=4)</formula>
    </cfRule>
  </conditionalFormatting>
  <conditionalFormatting sqref="R21">
    <cfRule type="expression" dxfId="275" priority="8" stopIfTrue="1">
      <formula>$C21=1</formula>
    </cfRule>
    <cfRule type="expression" dxfId="274" priority="9" stopIfTrue="1">
      <formula>OR($C21=0,$C21=2,$C21=3,$C21=4)</formula>
    </cfRule>
  </conditionalFormatting>
  <conditionalFormatting sqref="M22">
    <cfRule type="cellIs" dxfId="273" priority="5" stopIfTrue="1" operator="notEqual">
      <formula>$N22</formula>
    </cfRule>
  </conditionalFormatting>
  <conditionalFormatting sqref="N22:O22 W22">
    <cfRule type="expression" dxfId="272" priority="6" stopIfTrue="1">
      <formula>$C22=1</formula>
    </cfRule>
    <cfRule type="expression" dxfId="271" priority="7" stopIfTrue="1">
      <formula>OR($C22=0,$C22=2,$C22=3,$C22=4)</formula>
    </cfRule>
  </conditionalFormatting>
  <conditionalFormatting sqref="X22">
    <cfRule type="expression" dxfId="270" priority="3" stopIfTrue="1">
      <formula>$C22=1</formula>
    </cfRule>
    <cfRule type="expression" dxfId="269" priority="4" stopIfTrue="1">
      <formula>OR($C22=0,$C22=2,$C22=3,$C22=4)</formula>
    </cfRule>
  </conditionalFormatting>
  <conditionalFormatting sqref="R22">
    <cfRule type="expression" dxfId="268" priority="1" stopIfTrue="1">
      <formula>$C22=1</formula>
    </cfRule>
    <cfRule type="expression" dxfId="267" priority="2" stopIfTrue="1">
      <formula>OR($C22=0,$C22=2,$C22=3,$C22=4)</formula>
    </cfRule>
  </conditionalFormatting>
  <dataValidations count="8">
    <dataValidation type="decimal" operator="greaterThan" allowBlank="1" showErrorMessage="1" error="Apenas números decimais maiores que zero." sqref="U14 AL14 AJ14 AJ16:AJ55 AL16:AL55 U16:U55"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5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5" xr:uid="{00000000-0002-0000-0400-000006000000}"/>
    <dataValidation type="list" errorStyle="information" allowBlank="1" showInputMessage="1" prompt="Selecione uma sigla de unidade na lista suspensa." sqref="S14 S16:S55"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5"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55"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55"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55"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30"/>
  <sheetViews>
    <sheetView showGridLines="0" zoomScaleNormal="100" workbookViewId="0">
      <pane xSplit="4" ySplit="14" topLeftCell="F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IF(AUTOEVENTO="Manual",ROUND(SUMPRODUCT((CÁLCULO!$M$15:$M$56=EVENTOS!$C1)*(OFFSET(CÁLCULO!$AA$15:$AA$56,0,E$13))),2),0)</f>
        <v>#REF!</v>
      </c>
      <c r="F1" s="183" t="e">
        <f ca="1">IF(AUTOEVENTO="Manual",ROUND(SUMPRODUCT((CÁLCULO!$M$15:$M$56=EVENTOS!$C1)*(OFFSET(CÁLCULO!$AA$15,0,1):OFFSET(CÁLCULO!$AL$56,0,-1))),2),0)</f>
        <v>#REF!</v>
      </c>
      <c r="G1" s="621" t="e">
        <f ca="1">IF(AND(D1=0,F1&gt;0),"NOME",
 IF(AND(D1&lt;&gt;0,$F$14&gt;0,F1=0),"VALOR",
 IF(AND(Import.TipoArredondamento="TransfereGOV",$A1="F",LEN(D1)&gt;100),"Nome &gt;100","")))</f>
        <v>#REF!</v>
      </c>
      <c r="H1" s="620" t="e" cm="1">
        <f t="array" aca="1" ref="H1" ca="1">IF(AUTOEVENTO="Manual",ROUND(SUMPRODUCT((CÁLCULO!$M$15:$M$56=EVENTOS!$C1)*(OFFSET(CÁLCULO!$AA$15:$AA$56,0,H$13))),2),0)</f>
        <v>#REF!</v>
      </c>
      <c r="I1" s="620" t="e" cm="1">
        <f t="array" aca="1" ref="I1" ca="1">IF(AUTOEVENTO="Manual",ROUND(SUMPRODUCT((CÁLCULO!$M$15:$M$56=EVENTOS!$C1)*(OFFSET(CÁLCULO!$AA$15:$AA$56,0,I$13))),2),0)</f>
        <v>#REF!</v>
      </c>
      <c r="J1" s="620" t="e" cm="1">
        <f t="array" aca="1" ref="J1" ca="1">IF(AUTOEVENTO="Manual",ROUND(SUMPRODUCT((CÁLCULO!$M$15:$M$56=EVENTOS!$C1)*(OFFSET(CÁLCULO!$AA$15:$AA$56,0,J$13))),2),0)</f>
        <v>#REF!</v>
      </c>
      <c r="K1" s="620" t="e" cm="1">
        <f t="array" aca="1" ref="K1" ca="1">IF(AUTOEVENTO="Manual",ROUND(SUMPRODUCT((CÁLCULO!$M$15:$M$56=EVENTOS!$C1)*(OFFSET(CÁLCULO!$AA$15:$AA$56,0,K$13))),2),0)</f>
        <v>#REF!</v>
      </c>
      <c r="L1" s="620" t="e" cm="1">
        <f t="array" aca="1" ref="L1" ca="1">IF(AUTOEVENTO="Manual",ROUND(SUMPRODUCT((CÁLCULO!$M$15:$M$56=EVENTOS!$C1)*(OFFSET(CÁLCULO!$AA$15:$AA$56,0,L$13))),2),0)</f>
        <v>#REF!</v>
      </c>
      <c r="M1" s="620" t="e" cm="1">
        <f t="array" aca="1" ref="M1" ca="1">IF(AUTOEVENTO="Manual",ROUND(SUMPRODUCT((CÁLCULO!$M$15:$M$56=EVENTOS!$C1)*(OFFSET(CÁLCULO!$AA$15:$AA$56,0,M$13))),2),0)</f>
        <v>#REF!</v>
      </c>
      <c r="N1" s="620" t="e" cm="1">
        <f t="array" aca="1" ref="N1" ca="1">IF(AUTOEVENTO="Manual",ROUND(SUMPRODUCT((CÁLCULO!$M$15:$M$56=EVENTOS!$C1)*(OFFSET(CÁLCULO!$AA$15:$AA$56,0,N$13))),2),0)</f>
        <v>#REF!</v>
      </c>
      <c r="O1" s="620" t="e" cm="1">
        <f t="array" aca="1" ref="O1" ca="1">IF(AUTOEVENTO="Manual",ROUND(SUMPRODUCT((CÁLCULO!$M$15:$M$56=EVENTOS!$C1)*(OFFSET(CÁLCULO!$AA$15:$AA$56,0,O$13))),2),0)</f>
        <v>#REF!</v>
      </c>
      <c r="P1" s="620" t="e" cm="1">
        <f t="array" aca="1" ref="P1" ca="1">IF(AUTOEVENTO="Manual",ROUND(SUMPRODUCT((CÁLCULO!$M$15:$M$56=EVENTOS!$C1)*(OFFSET(CÁLCULO!$AA$15:$AA$56,0,P$13))),2),0)</f>
        <v>#REF!</v>
      </c>
      <c r="Q1" s="620" t="e" cm="1">
        <f t="array" aca="1" ref="Q1" ca="1">IF(AUTOEVENTO="Manual",ROUND(SUMPRODUCT((CÁLCULO!$M$15:$M$56=EVENTOS!$C1)*(OFFSET(CÁLCULO!$AA$15:$AA$56,0,Q$13))),2),0)</f>
        <v>#REF!</v>
      </c>
      <c r="R1" s="620" t="e" cm="1">
        <f t="array" aca="1" ref="R1" ca="1">IF(AUTOEVENTO="Manual",ROUND(SUMPRODUCT((CÁLCULO!$M$15:$M$56=EVENTOS!$C1)*(OFFSET(CÁLCULO!$AA$15:$AA$56,0,R$13))),2),0)</f>
        <v>#REF!</v>
      </c>
      <c r="S1" s="620" t="e" cm="1">
        <f t="array" aca="1" ref="S1" ca="1">IF(AUTOEVENTO="Manual",ROUND(SUMPRODUCT((CÁLCULO!$M$15:$M$56=EVENTOS!$C1)*(OFFSET(CÁLCULO!$AA$15:$AA$56,0,S$13))),2),0)</f>
        <v>#REF!</v>
      </c>
      <c r="T1" s="620" t="e" cm="1">
        <f t="array" aca="1" ref="T1" ca="1">IF(AUTOEVENTO="Manual",ROUND(SUMPRODUCT((CÁLCULO!$M$15:$M$56=EVENTOS!$C1)*(OFFSET(CÁLCULO!$AA$15:$AA$56,0,T$13))),2),0)</f>
        <v>#REF!</v>
      </c>
      <c r="U1" s="620" t="e" cm="1">
        <f t="array" aca="1" ref="U1" ca="1">IF(AUTOEVENTO="Manual",ROUND(SUMPRODUCT((CÁLCULO!$M$15:$M$56=EVENTOS!$C1)*(OFFSET(CÁLCULO!$AA$15:$AA$56,0,U$13))),2),0)</f>
        <v>#REF!</v>
      </c>
      <c r="V1" s="620" t="e" cm="1">
        <f t="array" aca="1" ref="V1" ca="1">IF(AUTOEVENTO="Manual",ROUND(SUMPRODUCT((CÁLCULO!$M$15:$M$56=EVENTOS!$C1)*(OFFSET(CÁLCULO!$AA$15:$AA$56,0,V$13))),2),0)</f>
        <v>#REF!</v>
      </c>
      <c r="W1" s="620" t="e" cm="1">
        <f t="array" aca="1" ref="W1" ca="1">IF(AUTOEVENTO="Manual",ROUND(SUMPRODUCT((CÁLCULO!$M$15:$M$56=EVENTOS!$C1)*(OFFSET(CÁLCULO!$AA$15:$AA$56,0,W$13))),2),0)</f>
        <v>#REF!</v>
      </c>
      <c r="X1" s="620" t="e" cm="1">
        <f t="array" aca="1" ref="X1" ca="1">IF(AUTOEVENTO="Manual",ROUND(SUMPRODUCT((CÁLCULO!$M$15:$M$56=EVENTOS!$C1)*(OFFSET(CÁLCULO!$AA$15:$AA$56,0,X$13))),2),0)</f>
        <v>#REF!</v>
      </c>
      <c r="Y1" s="620" t="e" cm="1">
        <f t="array" aca="1" ref="Y1" ca="1">IF(AUTOEVENTO="Manual",ROUND(SUMPRODUCT((CÁLCULO!$M$15:$M$56=EVENTOS!$C1)*(OFFSET(CÁLCULO!$AA$15:$AA$56,0,Y$13))),2),0)</f>
        <v>#REF!</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PILAR DO SUL</v>
      </c>
      <c r="D5" s="503"/>
      <c r="E5" s="503"/>
      <c r="F5" s="743" t="str">
        <f>Import.Apelido</f>
        <v>INFRAESTRUTURA URBANA COM RECUPERAÇÃO, DRENAGEM E RECAPEAMENTO ASFÁLTICO RUAS DO MUNICÍPIO DE PILAR DO SUL</v>
      </c>
      <c r="G5" s="744"/>
      <c r="H5" s="744"/>
      <c r="I5" s="744"/>
      <c r="J5" s="744"/>
      <c r="K5" s="744"/>
      <c r="L5" s="744"/>
      <c r="M5" s="745"/>
      <c r="N5" s="56" t="str">
        <f>Import.CR</f>
        <v>1101329-56</v>
      </c>
      <c r="O5" s="56" t="str">
        <f>Import.SICONV</f>
        <v>11213/2025</v>
      </c>
      <c r="P5" s="743" t="str">
        <f>Import.Apelido</f>
        <v>INFRAESTRUTURA URBANA COM RECUPERAÇÃO, DRENAGEM E RECAPEAMENTO ASFÁLTICO RUAS DO MUNICÍPIO DE PILAR DO SUL</v>
      </c>
      <c r="Q5" s="744"/>
      <c r="R5" s="744"/>
      <c r="S5" s="744"/>
      <c r="T5" s="744"/>
      <c r="U5" s="744"/>
      <c r="V5" s="744"/>
      <c r="W5" s="745"/>
      <c r="X5" s="56" t="str">
        <f>Import.CR</f>
        <v>1101329-56</v>
      </c>
      <c r="Y5" s="56" t="str">
        <f>Import.SICONV</f>
        <v>11213/2025</v>
      </c>
      <c r="Z5" t="s">
        <v>752</v>
      </c>
    </row>
    <row r="6" spans="1:26" ht="24.95" customHeight="1" x14ac:dyDescent="0.25">
      <c r="B6" t="s">
        <v>937</v>
      </c>
      <c r="C6" t="s">
        <v>759</v>
      </c>
      <c r="F6" s="521" t="str">
        <f ca="1">IF(AUTOEVENTO="MANUAL",
  IF(COUNTIF($G$15:$G$23,"NOME")&gt;0,"Falta preencher o nome do Título do Evento nº "&amp;INDEX($C$15:$C$23,MATCH("NOME",$G$15:$G$23,0)),
  IF(COUNTIF($G$15:$G$23,"VALOR")&gt;0,"Falta atribuir serviços ao Evento nº "&amp;INDEX($C$15:$C$23,MATCH("VALOR",$G$15:$G$23,0))&amp;". Corrigir a atribuição dos eventos na aba CÁLCULO. Ou excluir linhas dos eventos não utilizados.",
  IF(ROUND($F$14,2)&lt;&gt;ROUND(ORÇAMENTO!$X$15,2),"O valor total dos Eventos é diferente do valor total do Orçamento. Corrigir a atribuição dos eventos na aba CÁLCULO",
  IF(COUNTIF($G$15:$G$23,"Nome &gt;100")&gt;0,"O tamanho do Título do Evento no TransfereGOV é limitado a 100 caracteres. Resuma o nome do Título do Evento nº "&amp;INDEX($C$15:$C$23,MATCH("Nome &gt;100",$G$15:$G$23,0)),"")))),"")</f>
        <v/>
      </c>
    </row>
    <row r="7" spans="1:26" ht="3.95" customHeight="1" thickBot="1" x14ac:dyDescent="0.25">
      <c r="B7" t="s">
        <v>940</v>
      </c>
    </row>
    <row r="8" spans="1:26" ht="16.5" thickBot="1" x14ac:dyDescent="0.3">
      <c r="B8" t="s">
        <v>941</v>
      </c>
      <c r="C8" s="739" t="s">
        <v>939</v>
      </c>
      <c r="D8" s="740"/>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COUNTIF($C$15:$C$23,"&gt;0")-1</f>
        <v>6</v>
      </c>
      <c r="D10" t="s">
        <v>752</v>
      </c>
      <c r="E10" s="741">
        <f ca="1">OFFSET(CÁLCULO!$P$12,0,EVENTOS!E$13)</f>
        <v>1</v>
      </c>
      <c r="F10" t="s">
        <v>752</v>
      </c>
      <c r="G10" s="736"/>
      <c r="H10" s="741">
        <f ca="1">OFFSET(CÁLCULO!$P$12,0,EVENTOS!H$13)</f>
        <v>1</v>
      </c>
      <c r="I10" s="741" t="str">
        <f ca="1">OFFSET(CÁLCULO!$P$12,0,EVENTOS!I$13)</f>
        <v>.</v>
      </c>
      <c r="J10" s="741" t="str">
        <f ca="1">OFFSET(CÁLCULO!$P$12,0,EVENTOS!J$13)</f>
        <v>.</v>
      </c>
      <c r="K10" s="736" t="str">
        <f ca="1">OFFSET(CÁLCULO!$P$12,0,EVENTOS!K$13)</f>
        <v>.</v>
      </c>
      <c r="L10" s="736" t="str">
        <f ca="1">OFFSET(CÁLCULO!$P$12,0,EVENTOS!L$13)</f>
        <v>.</v>
      </c>
      <c r="M10" s="736" t="str">
        <f ca="1">OFFSET(CÁLCULO!$P$12,0,EVENTOS!M$13)</f>
        <v>.</v>
      </c>
      <c r="N10" s="736" t="str">
        <f ca="1">OFFSET(CÁLCULO!$P$12,0,EVENTOS!N$13)</f>
        <v>.</v>
      </c>
      <c r="O10" s="736" t="str">
        <f ca="1">OFFSET(CÁLCULO!$P$12,0,EVENTOS!O$13)</f>
        <v>.</v>
      </c>
      <c r="P10" s="736" t="str">
        <f ca="1">OFFSET(CÁLCULO!$P$12,0,EVENTOS!P$13)</f>
        <v>.</v>
      </c>
      <c r="Q10" s="736" t="str">
        <f ca="1">OFFSET(CÁLCULO!$P$12,0,EVENTOS!Q$13)</f>
        <v>.</v>
      </c>
      <c r="R10" s="736" t="str">
        <f ca="1">OFFSET(CÁLCULO!$P$12,0,EVENTOS!R$13)</f>
        <v>.</v>
      </c>
      <c r="S10" s="736" t="str">
        <f ca="1">OFFSET(CÁLCULO!$P$12,0,EVENTOS!S$13)</f>
        <v>.</v>
      </c>
      <c r="T10" s="736" t="str">
        <f ca="1">OFFSET(CÁLCULO!$P$12,0,EVENTOS!T$13)</f>
        <v>.</v>
      </c>
      <c r="U10" s="736" t="str">
        <f ca="1">OFFSET(CÁLCULO!$P$12,0,EVENTOS!U$13)</f>
        <v>.</v>
      </c>
      <c r="V10" s="736" t="str">
        <f ca="1">OFFSET(CÁLCULO!$P$12,0,EVENTOS!V$13)</f>
        <v>.</v>
      </c>
      <c r="W10" s="736" t="str">
        <f ca="1">OFFSET(CÁLCULO!$P$12,0,EVENTOS!W$13)</f>
        <v>.</v>
      </c>
      <c r="X10" s="736" t="str">
        <f ca="1">OFFSET(CÁLCULO!$P$12,0,EVENTOS!X$13)</f>
        <v>.</v>
      </c>
      <c r="Y10" s="736" t="str">
        <f ca="1">OFFSET(CÁLCULO!$P$12,0,EVENTOS!Y$13)</f>
        <v>.</v>
      </c>
    </row>
    <row r="11" spans="1:26" ht="35.1" customHeight="1" x14ac:dyDescent="0.2">
      <c r="A11" s="507" t="s">
        <v>655</v>
      </c>
      <c r="C11" s="74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42"/>
      <c r="E11" s="741"/>
      <c r="F11" s="497"/>
      <c r="G11" s="737"/>
      <c r="H11" s="741"/>
      <c r="I11" s="741"/>
      <c r="J11" s="741"/>
      <c r="K11" s="737"/>
      <c r="L11" s="737"/>
      <c r="M11" s="737"/>
      <c r="N11" s="737"/>
      <c r="O11" s="737"/>
      <c r="P11" s="737"/>
      <c r="Q11" s="737"/>
      <c r="R11" s="737"/>
      <c r="S11" s="737"/>
      <c r="T11" s="737"/>
      <c r="U11" s="737"/>
      <c r="V11" s="737"/>
      <c r="W11" s="737"/>
      <c r="X11" s="737"/>
      <c r="Y11" s="737"/>
    </row>
    <row r="12" spans="1:26" ht="12" customHeight="1" x14ac:dyDescent="0.2">
      <c r="A12" s="508" t="s">
        <v>660</v>
      </c>
      <c r="E12" s="741"/>
      <c r="G12" s="738"/>
      <c r="H12" s="741"/>
      <c r="I12" s="741"/>
      <c r="J12" s="741"/>
      <c r="K12" s="738"/>
      <c r="L12" s="738"/>
      <c r="M12" s="738"/>
      <c r="N12" s="738"/>
      <c r="O12" s="738"/>
      <c r="P12" s="738"/>
      <c r="Q12" s="738"/>
      <c r="R12" s="738"/>
      <c r="S12" s="738"/>
      <c r="T12" s="738"/>
      <c r="U12" s="738"/>
      <c r="V12" s="738"/>
      <c r="W12" s="738"/>
      <c r="X12" s="738"/>
      <c r="Y12" s="738"/>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SUM(E$15:E$23)</f>
        <v>1081686.6200000001</v>
      </c>
      <c r="F14" s="543">
        <f ca="1">SUM(F$15:F$23)</f>
        <v>1081686.6200000001</v>
      </c>
      <c r="H14" s="625">
        <f t="shared" ref="H14:Y14" ca="1" si="2">SUM(H$15:H$23)</f>
        <v>1081686.6200000001</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22" si="3">IF(D15="","","F")</f>
        <v/>
      </c>
      <c r="B15" t="str">
        <f>IF(OR(C15=" ",D15=""),"",CONCATENATE(C15,". ",D15))</f>
        <v/>
      </c>
      <c r="C15" s="546" cm="1">
        <f t="array" ref="C15">IF(AdmLocal="Automática",1,0)</f>
        <v>0</v>
      </c>
      <c r="D15" s="626" t="str">
        <f>IF(C15=1,"Administração Local","")</f>
        <v/>
      </c>
      <c r="E15" s="627">
        <f ca="1">IF($F$15=0,0,IF(E13=1,$F$15-SUM($I$15:$Z$15),ROUND(SUM(OFFSET(E15,1,0):OFFSET(E$23,-1,0))/SUM(OFFSET($F15,1,0):OFFSET($F$23,-1,0))*$F$15,2)))</f>
        <v>0</v>
      </c>
      <c r="F15" s="547" cm="1">
        <f t="array" ref="F15">IF($C$15=0,0,ROUND(SUMPRODUCT((CÁLCULO!$M$15:$M$56=EVENTOS!$C15)*(ORÇAMENTO!$X$15:'ORÇAMENTO'!$X$56)),2))</f>
        <v>0</v>
      </c>
      <c r="G15" s="628"/>
      <c r="H15" s="627">
        <f ca="1">IF($F$15=0,0,IF(H13=1,$F$15-SUM($I$15:$Z$15),ROUND(SUM(OFFSET(H15,1,0):OFFSET(H$23,-1,0))/SUM(OFFSET($F15,1,0):OFFSET($F$23,-1,0))*$F$15,2)))</f>
        <v>0</v>
      </c>
      <c r="I15" s="627">
        <f ca="1">IF($F$15=0,0,IF(I13=1,$F$15-SUM($I$15:$Z$15),ROUND(SUM(OFFSET(I15,1,0):OFFSET(I$23,-1,0))/SUM(OFFSET($F15,1,0):OFFSET($F$23,-1,0))*$F$15,2)))</f>
        <v>0</v>
      </c>
      <c r="J15" s="627">
        <f ca="1">IF($F$15=0,0,IF(J13=1,$F$15-SUM($I$15:$Z$15),ROUND(SUM(OFFSET(J15,1,0):OFFSET(J$23,-1,0))/SUM(OFFSET($F15,1,0):OFFSET($F$23,-1,0))*$F$15,2)))</f>
        <v>0</v>
      </c>
      <c r="K15" s="627">
        <f ca="1">IF($F$15=0,0,IF(K13=1,$F$15-SUM($I$15:$Z$15),ROUND(SUM(OFFSET(K15,1,0):OFFSET(K$23,-1,0))/SUM(OFFSET($F15,1,0):OFFSET($F$23,-1,0))*$F$15,2)))</f>
        <v>0</v>
      </c>
      <c r="L15" s="627">
        <f ca="1">IF($F$15=0,0,IF(L13=1,$F$15-SUM($I$15:$Z$15),ROUND(SUM(OFFSET(L15,1,0):OFFSET(L$23,-1,0))/SUM(OFFSET($F15,1,0):OFFSET($F$23,-1,0))*$F$15,2)))</f>
        <v>0</v>
      </c>
      <c r="M15" s="627">
        <f ca="1">IF($F$15=0,0,IF(M13=1,$F$15-SUM($I$15:$Z$15),ROUND(SUM(OFFSET(M15,1,0):OFFSET(M$23,-1,0))/SUM(OFFSET($F15,1,0):OFFSET($F$23,-1,0))*$F$15,2)))</f>
        <v>0</v>
      </c>
      <c r="N15" s="627">
        <f ca="1">IF($F$15=0,0,IF(N13=1,$F$15-SUM($I$15:$Z$15),ROUND(SUM(OFFSET(N15,1,0):OFFSET(N$23,-1,0))/SUM(OFFSET($F15,1,0):OFFSET($F$23,-1,0))*$F$15,2)))</f>
        <v>0</v>
      </c>
      <c r="O15" s="627">
        <f ca="1">IF($F$15=0,0,IF(O13=1,$F$15-SUM($I$15:$Z$15),ROUND(SUM(OFFSET(O15,1,0):OFFSET(O$23,-1,0))/SUM(OFFSET($F15,1,0):OFFSET($F$23,-1,0))*$F$15,2)))</f>
        <v>0</v>
      </c>
      <c r="P15" s="627">
        <f ca="1">IF($F$15=0,0,IF(P13=1,$F$15-SUM($I$15:$Z$15),ROUND(SUM(OFFSET(P15,1,0):OFFSET(P$23,-1,0))/SUM(OFFSET($F15,1,0):OFFSET($F$23,-1,0))*$F$15,2)))</f>
        <v>0</v>
      </c>
      <c r="Q15" s="627">
        <f ca="1">IF($F$15=0,0,IF(Q13=1,$F$15-SUM($I$15:$Z$15),ROUND(SUM(OFFSET(Q15,1,0):OFFSET(Q$23,-1,0))/SUM(OFFSET($F15,1,0):OFFSET($F$23,-1,0))*$F$15,2)))</f>
        <v>0</v>
      </c>
      <c r="R15" s="627">
        <f ca="1">IF($F$15=0,0,IF(R13=1,$F$15-SUM($I$15:$Z$15),ROUND(SUM(OFFSET(R15,1,0):OFFSET(R$23,-1,0))/SUM(OFFSET($F15,1,0):OFFSET($F$23,-1,0))*$F$15,2)))</f>
        <v>0</v>
      </c>
      <c r="S15" s="627">
        <f ca="1">IF($F$15=0,0,IF(S13=1,$F$15-SUM($I$15:$Z$15),ROUND(SUM(OFFSET(S15,1,0):OFFSET(S$23,-1,0))/SUM(OFFSET($F15,1,0):OFFSET($F$23,-1,0))*$F$15,2)))</f>
        <v>0</v>
      </c>
      <c r="T15" s="627">
        <f ca="1">IF($F$15=0,0,IF(T13=1,$F$15-SUM($I$15:$Z$15),ROUND(SUM(OFFSET(T15,1,0):OFFSET(T$23,-1,0))/SUM(OFFSET($F15,1,0):OFFSET($F$23,-1,0))*$F$15,2)))</f>
        <v>0</v>
      </c>
      <c r="U15" s="627">
        <f ca="1">IF($F$15=0,0,IF(U13=1,$F$15-SUM($I$15:$Z$15),ROUND(SUM(OFFSET(U15,1,0):OFFSET(U$23,-1,0))/SUM(OFFSET($F15,1,0):OFFSET($F$23,-1,0))*$F$15,2)))</f>
        <v>0</v>
      </c>
      <c r="V15" s="627">
        <f ca="1">IF($F$15=0,0,IF(V13=1,$F$15-SUM($I$15:$Z$15),ROUND(SUM(OFFSET(V15,1,0):OFFSET(V$23,-1,0))/SUM(OFFSET($F15,1,0):OFFSET($F$23,-1,0))*$F$15,2)))</f>
        <v>0</v>
      </c>
      <c r="W15" s="627">
        <f ca="1">IF($F$15=0,0,IF(W13=1,$F$15-SUM($I$15:$Z$15),ROUND(SUM(OFFSET(W15,1,0):OFFSET(W$23,-1,0))/SUM(OFFSET($F15,1,0):OFFSET($F$23,-1,0))*$F$15,2)))</f>
        <v>0</v>
      </c>
      <c r="X15" s="627">
        <f ca="1">IF($F$15=0,0,IF(X13=1,$F$15-SUM($I$15:$Z$15),ROUND(SUM(OFFSET(X15,1,0):OFFSET(X$23,-1,0))/SUM(OFFSET($F15,1,0):OFFSET($F$23,-1,0))*$F$15,2)))</f>
        <v>0</v>
      </c>
      <c r="Y15" s="627">
        <f ca="1">IF($F$15=0,0,IF(Y13=1,$F$15-SUM($I$15:$Z$15),ROUND(SUM(OFFSET(Y15,1,0):OFFSET(Y$23,-1,0))/SUM(OFFSET($F15,1,0):OFFSET($F$23,-1,0))*$F$15,2)))</f>
        <v>0</v>
      </c>
    </row>
    <row r="16" spans="1:26" x14ac:dyDescent="0.2">
      <c r="A16" s="506" t="str">
        <f t="shared" si="3"/>
        <v>F</v>
      </c>
      <c r="B16" t="str">
        <f t="shared" ref="B16:B22" ca="1" si="4">IF(OR(C16=" ",D16=""),"",CONCATENATE(C16,". ",D16))</f>
        <v>1. SERVIÇOS PRELIMINARES ETAPA 1</v>
      </c>
      <c r="C16" s="182" cm="1">
        <f t="array" aca="1" ref="C16" ca="1">IF(OR(ROW(C16)=ROW(EVENTOS.firstrow)+1,AND(OFFSET(C16,-1,0)&lt;&gt;" ",OFFSET(C16,-1,1)&lt;&gt;"")),OFFSET(C16,-1,0)+1," ")</f>
        <v>1</v>
      </c>
      <c r="D16" s="496" t="s">
        <v>1144</v>
      </c>
      <c r="E16" s="620" cm="1">
        <f t="array" aca="1" ref="E16" ca="1">IF(AUTOEVENTO="Manual",ROUND(SUMPRODUCT((CÁLCULO!$M$15:$M$56=EVENTOS!$C16)*(OFFSET(CÁLCULO!$AA$15:$AA$56,0,E$13))),2),0)</f>
        <v>11352.66</v>
      </c>
      <c r="F16" s="183">
        <f ca="1">IF(AUTOEVENTO="Manual",ROUND(SUMPRODUCT((CÁLCULO!$M$15:$M$56=EVENTOS!$C16)*(OFFSET(CÁLCULO!$AA$15,0,1):OFFSET(CÁLCULO!$AL$56,0,-1))),2),0)</f>
        <v>11352.66</v>
      </c>
      <c r="G16" s="621" t="str">
        <f t="shared" ref="G16:G22" ca="1" si="5">IF(AND(D16=0,F16&gt;0),"NOME",
 IF(AND(D16&lt;&gt;0,$F$14&gt;0,F16=0),"VALOR",
 IF(AND(Import.TipoArredondamento="TransfereGOV",$A16="F",LEN(D16)&gt;100),"Nome &gt;100","")))</f>
        <v/>
      </c>
      <c r="H16" s="620" cm="1">
        <f t="array" aca="1" ref="H16" ca="1">IF(AUTOEVENTO="Manual",ROUND(SUMPRODUCT((CÁLCULO!$M$15:$M$56=EVENTOS!$C16)*(OFFSET(CÁLCULO!$AA$15:$AA$56,0,H$13))),2),0)</f>
        <v>11352.66</v>
      </c>
      <c r="I16" s="620" cm="1">
        <f t="array" aca="1" ref="I16" ca="1">IF(AUTOEVENTO="Manual",ROUND(SUMPRODUCT((CÁLCULO!$M$15:$M$56=EVENTOS!$C16)*(OFFSET(CÁLCULO!$AA$15:$AA$56,0,I$13))),2),0)</f>
        <v>0</v>
      </c>
      <c r="J16" s="620" cm="1">
        <f t="array" aca="1" ref="J16" ca="1">IF(AUTOEVENTO="Manual",ROUND(SUMPRODUCT((CÁLCULO!$M$15:$M$56=EVENTOS!$C16)*(OFFSET(CÁLCULO!$AA$15:$AA$56,0,J$13))),2),0)</f>
        <v>0</v>
      </c>
      <c r="K16" s="620" cm="1">
        <f t="array" aca="1" ref="K16" ca="1">IF(AUTOEVENTO="Manual",ROUND(SUMPRODUCT((CÁLCULO!$M$15:$M$56=EVENTOS!$C16)*(OFFSET(CÁLCULO!$AA$15:$AA$56,0,K$13))),2),0)</f>
        <v>0</v>
      </c>
      <c r="L16" s="620" cm="1">
        <f t="array" aca="1" ref="L16" ca="1">IF(AUTOEVENTO="Manual",ROUND(SUMPRODUCT((CÁLCULO!$M$15:$M$56=EVENTOS!$C16)*(OFFSET(CÁLCULO!$AA$15:$AA$56,0,L$13))),2),0)</f>
        <v>0</v>
      </c>
      <c r="M16" s="620" cm="1">
        <f t="array" aca="1" ref="M16" ca="1">IF(AUTOEVENTO="Manual",ROUND(SUMPRODUCT((CÁLCULO!$M$15:$M$56=EVENTOS!$C16)*(OFFSET(CÁLCULO!$AA$15:$AA$56,0,M$13))),2),0)</f>
        <v>0</v>
      </c>
      <c r="N16" s="620" cm="1">
        <f t="array" aca="1" ref="N16" ca="1">IF(AUTOEVENTO="Manual",ROUND(SUMPRODUCT((CÁLCULO!$M$15:$M$56=EVENTOS!$C16)*(OFFSET(CÁLCULO!$AA$15:$AA$56,0,N$13))),2),0)</f>
        <v>0</v>
      </c>
      <c r="O16" s="620" cm="1">
        <f t="array" aca="1" ref="O16" ca="1">IF(AUTOEVENTO="Manual",ROUND(SUMPRODUCT((CÁLCULO!$M$15:$M$56=EVENTOS!$C16)*(OFFSET(CÁLCULO!$AA$15:$AA$56,0,O$13))),2),0)</f>
        <v>0</v>
      </c>
      <c r="P16" s="620" cm="1">
        <f t="array" aca="1" ref="P16" ca="1">IF(AUTOEVENTO="Manual",ROUND(SUMPRODUCT((CÁLCULO!$M$15:$M$56=EVENTOS!$C16)*(OFFSET(CÁLCULO!$AA$15:$AA$56,0,P$13))),2),0)</f>
        <v>0</v>
      </c>
      <c r="Q16" s="620" cm="1">
        <f t="array" aca="1" ref="Q16" ca="1">IF(AUTOEVENTO="Manual",ROUND(SUMPRODUCT((CÁLCULO!$M$15:$M$56=EVENTOS!$C16)*(OFFSET(CÁLCULO!$AA$15:$AA$56,0,Q$13))),2),0)</f>
        <v>0</v>
      </c>
      <c r="R16" s="620" cm="1">
        <f t="array" aca="1" ref="R16" ca="1">IF(AUTOEVENTO="Manual",ROUND(SUMPRODUCT((CÁLCULO!$M$15:$M$56=EVENTOS!$C16)*(OFFSET(CÁLCULO!$AA$15:$AA$56,0,R$13))),2),0)</f>
        <v>0</v>
      </c>
      <c r="S16" s="620" cm="1">
        <f t="array" aca="1" ref="S16" ca="1">IF(AUTOEVENTO="Manual",ROUND(SUMPRODUCT((CÁLCULO!$M$15:$M$56=EVENTOS!$C16)*(OFFSET(CÁLCULO!$AA$15:$AA$56,0,S$13))),2),0)</f>
        <v>0</v>
      </c>
      <c r="T16" s="620" cm="1">
        <f t="array" aca="1" ref="T16" ca="1">IF(AUTOEVENTO="Manual",ROUND(SUMPRODUCT((CÁLCULO!$M$15:$M$56=EVENTOS!$C16)*(OFFSET(CÁLCULO!$AA$15:$AA$56,0,T$13))),2),0)</f>
        <v>0</v>
      </c>
      <c r="U16" s="620" cm="1">
        <f t="array" aca="1" ref="U16" ca="1">IF(AUTOEVENTO="Manual",ROUND(SUMPRODUCT((CÁLCULO!$M$15:$M$56=EVENTOS!$C16)*(OFFSET(CÁLCULO!$AA$15:$AA$56,0,U$13))),2),0)</f>
        <v>0</v>
      </c>
      <c r="V16" s="620" cm="1">
        <f t="array" aca="1" ref="V16" ca="1">IF(AUTOEVENTO="Manual",ROUND(SUMPRODUCT((CÁLCULO!$M$15:$M$56=EVENTOS!$C16)*(OFFSET(CÁLCULO!$AA$15:$AA$56,0,V$13))),2),0)</f>
        <v>0</v>
      </c>
      <c r="W16" s="620" cm="1">
        <f t="array" aca="1" ref="W16" ca="1">IF(AUTOEVENTO="Manual",ROUND(SUMPRODUCT((CÁLCULO!$M$15:$M$56=EVENTOS!$C16)*(OFFSET(CÁLCULO!$AA$15:$AA$56,0,W$13))),2),0)</f>
        <v>0</v>
      </c>
      <c r="X16" s="620" cm="1">
        <f t="array" aca="1" ref="X16" ca="1">IF(AUTOEVENTO="Manual",ROUND(SUMPRODUCT((CÁLCULO!$M$15:$M$56=EVENTOS!$C16)*(OFFSET(CÁLCULO!$AA$15:$AA$56,0,X$13))),2),0)</f>
        <v>0</v>
      </c>
      <c r="Y16" s="620" cm="1">
        <f t="array" aca="1" ref="Y16" ca="1">IF(AUTOEVENTO="Manual",ROUND(SUMPRODUCT((CÁLCULO!$M$15:$M$56=EVENTOS!$C16)*(OFFSET(CÁLCULO!$AA$15:$AA$56,0,Y$13))),2),0)</f>
        <v>0</v>
      </c>
    </row>
    <row r="17" spans="1:25" x14ac:dyDescent="0.2">
      <c r="A17" s="506" t="str">
        <f t="shared" si="3"/>
        <v>F</v>
      </c>
      <c r="B17" t="str">
        <f ca="1">IF(OR(C17=" ",D17=""),"",CONCATENATE(C17,". ",D17))</f>
        <v>2. SERVIÇOS PRELIMINARES ETAPA 2</v>
      </c>
      <c r="C17" s="182" cm="1">
        <f t="array" aca="1" ref="C17" ca="1">IF(OR(ROW(C17)=ROW(EVENTOS.firstrow)+1,AND(OFFSET(C17,-1,0)&lt;&gt;" ",OFFSET(C17,-1,1)&lt;&gt;"")),OFFSET(C17,-1,0)+1," ")</f>
        <v>2</v>
      </c>
      <c r="D17" s="496" t="s">
        <v>1145</v>
      </c>
      <c r="E17" s="620" cm="1">
        <f t="array" aca="1" ref="E17" ca="1">IF(AUTOEVENTO="Manual",ROUND(SUMPRODUCT((CÁLCULO!$M$15:$M$56=EVENTOS!$C17)*(OFFSET(CÁLCULO!$AA$15:$AA$56,0,E$13))),2),0)</f>
        <v>1553.3</v>
      </c>
      <c r="F17" s="183">
        <f ca="1">IF(AUTOEVENTO="Manual",ROUND(SUMPRODUCT((CÁLCULO!$M$15:$M$56=EVENTOS!$C17)*(OFFSET(CÁLCULO!$AA$15,0,1):OFFSET(CÁLCULO!$AL$56,0,-1))),2),0)</f>
        <v>1553.3</v>
      </c>
      <c r="G17" s="621" t="str">
        <f ca="1">IF(AND(D17=0,F17&gt;0),"NOME",
 IF(AND(D17&lt;&gt;0,$F$14&gt;0,F17=0),"VALOR",
 IF(AND(Import.TipoArredondamento="TransfereGOV",$A17="F",LEN(D17)&gt;100),"Nome &gt;100","")))</f>
        <v/>
      </c>
      <c r="H17" s="620" cm="1">
        <f t="array" aca="1" ref="H17" ca="1">IF(AUTOEVENTO="Manual",ROUND(SUMPRODUCT((CÁLCULO!$M$15:$M$56=EVENTOS!$C17)*(OFFSET(CÁLCULO!$AA$15:$AA$56,0,H$13))),2),0)</f>
        <v>1553.3</v>
      </c>
      <c r="I17" s="620" cm="1">
        <f t="array" aca="1" ref="I17" ca="1">IF(AUTOEVENTO="Manual",ROUND(SUMPRODUCT((CÁLCULO!$M$15:$M$56=EVENTOS!$C17)*(OFFSET(CÁLCULO!$AA$15:$AA$56,0,I$13))),2),0)</f>
        <v>0</v>
      </c>
      <c r="J17" s="620" cm="1">
        <f t="array" aca="1" ref="J17" ca="1">IF(AUTOEVENTO="Manual",ROUND(SUMPRODUCT((CÁLCULO!$M$15:$M$56=EVENTOS!$C17)*(OFFSET(CÁLCULO!$AA$15:$AA$56,0,J$13))),2),0)</f>
        <v>0</v>
      </c>
      <c r="K17" s="620" cm="1">
        <f t="array" aca="1" ref="K17" ca="1">IF(AUTOEVENTO="Manual",ROUND(SUMPRODUCT((CÁLCULO!$M$15:$M$56=EVENTOS!$C17)*(OFFSET(CÁLCULO!$AA$15:$AA$56,0,K$13))),2),0)</f>
        <v>0</v>
      </c>
      <c r="L17" s="620" cm="1">
        <f t="array" aca="1" ref="L17" ca="1">IF(AUTOEVENTO="Manual",ROUND(SUMPRODUCT((CÁLCULO!$M$15:$M$56=EVENTOS!$C17)*(OFFSET(CÁLCULO!$AA$15:$AA$56,0,L$13))),2),0)</f>
        <v>0</v>
      </c>
      <c r="M17" s="620" cm="1">
        <f t="array" aca="1" ref="M17" ca="1">IF(AUTOEVENTO="Manual",ROUND(SUMPRODUCT((CÁLCULO!$M$15:$M$56=EVENTOS!$C17)*(OFFSET(CÁLCULO!$AA$15:$AA$56,0,M$13))),2),0)</f>
        <v>0</v>
      </c>
      <c r="N17" s="620" cm="1">
        <f t="array" aca="1" ref="N17" ca="1">IF(AUTOEVENTO="Manual",ROUND(SUMPRODUCT((CÁLCULO!$M$15:$M$56=EVENTOS!$C17)*(OFFSET(CÁLCULO!$AA$15:$AA$56,0,N$13))),2),0)</f>
        <v>0</v>
      </c>
      <c r="O17" s="620" cm="1">
        <f t="array" aca="1" ref="O17" ca="1">IF(AUTOEVENTO="Manual",ROUND(SUMPRODUCT((CÁLCULO!$M$15:$M$56=EVENTOS!$C17)*(OFFSET(CÁLCULO!$AA$15:$AA$56,0,O$13))),2),0)</f>
        <v>0</v>
      </c>
      <c r="P17" s="620" cm="1">
        <f t="array" aca="1" ref="P17" ca="1">IF(AUTOEVENTO="Manual",ROUND(SUMPRODUCT((CÁLCULO!$M$15:$M$56=EVENTOS!$C17)*(OFFSET(CÁLCULO!$AA$15:$AA$56,0,P$13))),2),0)</f>
        <v>0</v>
      </c>
      <c r="Q17" s="620" cm="1">
        <f t="array" aca="1" ref="Q17" ca="1">IF(AUTOEVENTO="Manual",ROUND(SUMPRODUCT((CÁLCULO!$M$15:$M$56=EVENTOS!$C17)*(OFFSET(CÁLCULO!$AA$15:$AA$56,0,Q$13))),2),0)</f>
        <v>0</v>
      </c>
      <c r="R17" s="620" cm="1">
        <f t="array" aca="1" ref="R17" ca="1">IF(AUTOEVENTO="Manual",ROUND(SUMPRODUCT((CÁLCULO!$M$15:$M$56=EVENTOS!$C17)*(OFFSET(CÁLCULO!$AA$15:$AA$56,0,R$13))),2),0)</f>
        <v>0</v>
      </c>
      <c r="S17" s="620" cm="1">
        <f t="array" aca="1" ref="S17" ca="1">IF(AUTOEVENTO="Manual",ROUND(SUMPRODUCT((CÁLCULO!$M$15:$M$56=EVENTOS!$C17)*(OFFSET(CÁLCULO!$AA$15:$AA$56,0,S$13))),2),0)</f>
        <v>0</v>
      </c>
      <c r="T17" s="620" cm="1">
        <f t="array" aca="1" ref="T17" ca="1">IF(AUTOEVENTO="Manual",ROUND(SUMPRODUCT((CÁLCULO!$M$15:$M$56=EVENTOS!$C17)*(OFFSET(CÁLCULO!$AA$15:$AA$56,0,T$13))),2),0)</f>
        <v>0</v>
      </c>
      <c r="U17" s="620" cm="1">
        <f t="array" aca="1" ref="U17" ca="1">IF(AUTOEVENTO="Manual",ROUND(SUMPRODUCT((CÁLCULO!$M$15:$M$56=EVENTOS!$C17)*(OFFSET(CÁLCULO!$AA$15:$AA$56,0,U$13))),2),0)</f>
        <v>0</v>
      </c>
      <c r="V17" s="620" cm="1">
        <f t="array" aca="1" ref="V17" ca="1">IF(AUTOEVENTO="Manual",ROUND(SUMPRODUCT((CÁLCULO!$M$15:$M$56=EVENTOS!$C17)*(OFFSET(CÁLCULO!$AA$15:$AA$56,0,V$13))),2),0)</f>
        <v>0</v>
      </c>
      <c r="W17" s="620" cm="1">
        <f t="array" aca="1" ref="W17" ca="1">IF(AUTOEVENTO="Manual",ROUND(SUMPRODUCT((CÁLCULO!$M$15:$M$56=EVENTOS!$C17)*(OFFSET(CÁLCULO!$AA$15:$AA$56,0,W$13))),2),0)</f>
        <v>0</v>
      </c>
      <c r="X17" s="620" cm="1">
        <f t="array" aca="1" ref="X17" ca="1">IF(AUTOEVENTO="Manual",ROUND(SUMPRODUCT((CÁLCULO!$M$15:$M$56=EVENTOS!$C17)*(OFFSET(CÁLCULO!$AA$15:$AA$56,0,X$13))),2),0)</f>
        <v>0</v>
      </c>
      <c r="Y17" s="620" cm="1">
        <f t="array" aca="1" ref="Y17" ca="1">IF(AUTOEVENTO="Manual",ROUND(SUMPRODUCT((CÁLCULO!$M$15:$M$56=EVENTOS!$C17)*(OFFSET(CÁLCULO!$AA$15:$AA$56,0,Y$13))),2),0)</f>
        <v>0</v>
      </c>
    </row>
    <row r="18" spans="1:25" x14ac:dyDescent="0.2">
      <c r="A18" s="506" t="str">
        <f t="shared" si="3"/>
        <v>F</v>
      </c>
      <c r="B18" t="str">
        <f t="shared" ca="1" si="4"/>
        <v>3. DRENAGEM</v>
      </c>
      <c r="C18" s="182" cm="1">
        <f t="array" aca="1" ref="C18" ca="1">IF(OR(ROW(C18)=ROW(EVENTOS.firstrow)+1,AND(OFFSET(C18,-1,0)&lt;&gt;" ",OFFSET(C18,-1,1)&lt;&gt;"")),OFFSET(C18,-1,0)+1," ")</f>
        <v>3</v>
      </c>
      <c r="D18" s="496" t="s">
        <v>1024</v>
      </c>
      <c r="E18" s="620" cm="1">
        <f t="array" aca="1" ref="E18" ca="1">IF(AUTOEVENTO="Manual",ROUND(SUMPRODUCT((CÁLCULO!$M$15:$M$56=EVENTOS!$C18)*(OFFSET(CÁLCULO!$AA$15:$AA$56,0,E$13))),2),0)</f>
        <v>108695.09</v>
      </c>
      <c r="F18" s="183">
        <f ca="1">IF(AUTOEVENTO="Manual",ROUND(SUMPRODUCT((CÁLCULO!$M$15:$M$56=EVENTOS!$C18)*(OFFSET(CÁLCULO!$AA$15,0,1):OFFSET(CÁLCULO!$AL$56,0,-1))),2),0)</f>
        <v>108695.09</v>
      </c>
      <c r="G18" s="621" t="str">
        <f t="shared" ca="1" si="5"/>
        <v/>
      </c>
      <c r="H18" s="620" cm="1">
        <f t="array" aca="1" ref="H18" ca="1">IF(AUTOEVENTO="Manual",ROUND(SUMPRODUCT((CÁLCULO!$M$15:$M$56=EVENTOS!$C18)*(OFFSET(CÁLCULO!$AA$15:$AA$56,0,H$13))),2),0)</f>
        <v>108695.09</v>
      </c>
      <c r="I18" s="620" cm="1">
        <f t="array" aca="1" ref="I18" ca="1">IF(AUTOEVENTO="Manual",ROUND(SUMPRODUCT((CÁLCULO!$M$15:$M$56=EVENTOS!$C18)*(OFFSET(CÁLCULO!$AA$15:$AA$56,0,I$13))),2),0)</f>
        <v>0</v>
      </c>
      <c r="J18" s="620" cm="1">
        <f t="array" aca="1" ref="J18" ca="1">IF(AUTOEVENTO="Manual",ROUND(SUMPRODUCT((CÁLCULO!$M$15:$M$56=EVENTOS!$C18)*(OFFSET(CÁLCULO!$AA$15:$AA$56,0,J$13))),2),0)</f>
        <v>0</v>
      </c>
      <c r="K18" s="620" cm="1">
        <f t="array" aca="1" ref="K18" ca="1">IF(AUTOEVENTO="Manual",ROUND(SUMPRODUCT((CÁLCULO!$M$15:$M$56=EVENTOS!$C18)*(OFFSET(CÁLCULO!$AA$15:$AA$56,0,K$13))),2),0)</f>
        <v>0</v>
      </c>
      <c r="L18" s="620" cm="1">
        <f t="array" aca="1" ref="L18" ca="1">IF(AUTOEVENTO="Manual",ROUND(SUMPRODUCT((CÁLCULO!$M$15:$M$56=EVENTOS!$C18)*(OFFSET(CÁLCULO!$AA$15:$AA$56,0,L$13))),2),0)</f>
        <v>0</v>
      </c>
      <c r="M18" s="620" cm="1">
        <f t="array" aca="1" ref="M18" ca="1">IF(AUTOEVENTO="Manual",ROUND(SUMPRODUCT((CÁLCULO!$M$15:$M$56=EVENTOS!$C18)*(OFFSET(CÁLCULO!$AA$15:$AA$56,0,M$13))),2),0)</f>
        <v>0</v>
      </c>
      <c r="N18" s="620" cm="1">
        <f t="array" aca="1" ref="N18" ca="1">IF(AUTOEVENTO="Manual",ROUND(SUMPRODUCT((CÁLCULO!$M$15:$M$56=EVENTOS!$C18)*(OFFSET(CÁLCULO!$AA$15:$AA$56,0,N$13))),2),0)</f>
        <v>0</v>
      </c>
      <c r="O18" s="620" cm="1">
        <f t="array" aca="1" ref="O18" ca="1">IF(AUTOEVENTO="Manual",ROUND(SUMPRODUCT((CÁLCULO!$M$15:$M$56=EVENTOS!$C18)*(OFFSET(CÁLCULO!$AA$15:$AA$56,0,O$13))),2),0)</f>
        <v>0</v>
      </c>
      <c r="P18" s="620" cm="1">
        <f t="array" aca="1" ref="P18" ca="1">IF(AUTOEVENTO="Manual",ROUND(SUMPRODUCT((CÁLCULO!$M$15:$M$56=EVENTOS!$C18)*(OFFSET(CÁLCULO!$AA$15:$AA$56,0,P$13))),2),0)</f>
        <v>0</v>
      </c>
      <c r="Q18" s="620" cm="1">
        <f t="array" aca="1" ref="Q18" ca="1">IF(AUTOEVENTO="Manual",ROUND(SUMPRODUCT((CÁLCULO!$M$15:$M$56=EVENTOS!$C18)*(OFFSET(CÁLCULO!$AA$15:$AA$56,0,Q$13))),2),0)</f>
        <v>0</v>
      </c>
      <c r="R18" s="620" cm="1">
        <f t="array" aca="1" ref="R18" ca="1">IF(AUTOEVENTO="Manual",ROUND(SUMPRODUCT((CÁLCULO!$M$15:$M$56=EVENTOS!$C18)*(OFFSET(CÁLCULO!$AA$15:$AA$56,0,R$13))),2),0)</f>
        <v>0</v>
      </c>
      <c r="S18" s="620" cm="1">
        <f t="array" aca="1" ref="S18" ca="1">IF(AUTOEVENTO="Manual",ROUND(SUMPRODUCT((CÁLCULO!$M$15:$M$56=EVENTOS!$C18)*(OFFSET(CÁLCULO!$AA$15:$AA$56,0,S$13))),2),0)</f>
        <v>0</v>
      </c>
      <c r="T18" s="620" cm="1">
        <f t="array" aca="1" ref="T18" ca="1">IF(AUTOEVENTO="Manual",ROUND(SUMPRODUCT((CÁLCULO!$M$15:$M$56=EVENTOS!$C18)*(OFFSET(CÁLCULO!$AA$15:$AA$56,0,T$13))),2),0)</f>
        <v>0</v>
      </c>
      <c r="U18" s="620" cm="1">
        <f t="array" aca="1" ref="U18" ca="1">IF(AUTOEVENTO="Manual",ROUND(SUMPRODUCT((CÁLCULO!$M$15:$M$56=EVENTOS!$C18)*(OFFSET(CÁLCULO!$AA$15:$AA$56,0,U$13))),2),0)</f>
        <v>0</v>
      </c>
      <c r="V18" s="620" cm="1">
        <f t="array" aca="1" ref="V18" ca="1">IF(AUTOEVENTO="Manual",ROUND(SUMPRODUCT((CÁLCULO!$M$15:$M$56=EVENTOS!$C18)*(OFFSET(CÁLCULO!$AA$15:$AA$56,0,V$13))),2),0)</f>
        <v>0</v>
      </c>
      <c r="W18" s="620" cm="1">
        <f t="array" aca="1" ref="W18" ca="1">IF(AUTOEVENTO="Manual",ROUND(SUMPRODUCT((CÁLCULO!$M$15:$M$56=EVENTOS!$C18)*(OFFSET(CÁLCULO!$AA$15:$AA$56,0,W$13))),2),0)</f>
        <v>0</v>
      </c>
      <c r="X18" s="620" cm="1">
        <f t="array" aca="1" ref="X18" ca="1">IF(AUTOEVENTO="Manual",ROUND(SUMPRODUCT((CÁLCULO!$M$15:$M$56=EVENTOS!$C18)*(OFFSET(CÁLCULO!$AA$15:$AA$56,0,X$13))),2),0)</f>
        <v>0</v>
      </c>
      <c r="Y18" s="620" cm="1">
        <f t="array" aca="1" ref="Y18" ca="1">IF(AUTOEVENTO="Manual",ROUND(SUMPRODUCT((CÁLCULO!$M$15:$M$56=EVENTOS!$C18)*(OFFSET(CÁLCULO!$AA$15:$AA$56,0,Y$13))),2),0)</f>
        <v>0</v>
      </c>
    </row>
    <row r="19" spans="1:25" x14ac:dyDescent="0.2">
      <c r="A19" s="506" t="str">
        <f t="shared" si="3"/>
        <v>F</v>
      </c>
      <c r="B19" t="str">
        <f t="shared" ca="1" si="4"/>
        <v>4. RECAPEAMENTO/RECUPERAÇÃO/PAVIMENTAÇÃO ASFÁLTICA - TRECHO DA RUA MARCOLINO GOMES DE OLIVEIRA</v>
      </c>
      <c r="C19" s="182" cm="1">
        <f t="array" aca="1" ref="C19" ca="1">IF(OR(ROW(C19)=ROW(EVENTOS.firstrow)+1,AND(OFFSET(C19,-1,0)&lt;&gt;" ",OFFSET(C19,-1,1)&lt;&gt;"")),OFFSET(C19,-1,0)+1," ")</f>
        <v>4</v>
      </c>
      <c r="D19" s="675" t="s">
        <v>1043</v>
      </c>
      <c r="E19" s="620" cm="1">
        <f t="array" aca="1" ref="E19" ca="1">IF(AUTOEVENTO="Manual",ROUND(SUMPRODUCT((CÁLCULO!$M$15:$M$56=EVENTOS!$C19)*(OFFSET(CÁLCULO!$AA$15:$AA$56,0,E$13))),2),0)</f>
        <v>579709.03</v>
      </c>
      <c r="F19" s="183">
        <f ca="1">IF(AUTOEVENTO="Manual",ROUND(SUMPRODUCT((CÁLCULO!$M$15:$M$56=EVENTOS!$C19)*(OFFSET(CÁLCULO!$AA$15,0,1):OFFSET(CÁLCULO!$AL$56,0,-1))),2),0)</f>
        <v>579709.03</v>
      </c>
      <c r="G19" s="621" t="str">
        <f t="shared" ca="1" si="5"/>
        <v/>
      </c>
      <c r="H19" s="620" cm="1">
        <f t="array" aca="1" ref="H19" ca="1">IF(AUTOEVENTO="Manual",ROUND(SUMPRODUCT((CÁLCULO!$M$15:$M$56=EVENTOS!$C19)*(OFFSET(CÁLCULO!$AA$15:$AA$56,0,H$13))),2),0)</f>
        <v>579709.03</v>
      </c>
      <c r="I19" s="620" cm="1">
        <f t="array" aca="1" ref="I19" ca="1">IF(AUTOEVENTO="Manual",ROUND(SUMPRODUCT((CÁLCULO!$M$15:$M$56=EVENTOS!$C19)*(OFFSET(CÁLCULO!$AA$15:$AA$56,0,I$13))),2),0)</f>
        <v>0</v>
      </c>
      <c r="J19" s="620" cm="1">
        <f t="array" aca="1" ref="J19" ca="1">IF(AUTOEVENTO="Manual",ROUND(SUMPRODUCT((CÁLCULO!$M$15:$M$56=EVENTOS!$C19)*(OFFSET(CÁLCULO!$AA$15:$AA$56,0,J$13))),2),0)</f>
        <v>0</v>
      </c>
      <c r="K19" s="620" cm="1">
        <f t="array" aca="1" ref="K19" ca="1">IF(AUTOEVENTO="Manual",ROUND(SUMPRODUCT((CÁLCULO!$M$15:$M$56=EVENTOS!$C19)*(OFFSET(CÁLCULO!$AA$15:$AA$56,0,K$13))),2),0)</f>
        <v>0</v>
      </c>
      <c r="L19" s="620" cm="1">
        <f t="array" aca="1" ref="L19" ca="1">IF(AUTOEVENTO="Manual",ROUND(SUMPRODUCT((CÁLCULO!$M$15:$M$56=EVENTOS!$C19)*(OFFSET(CÁLCULO!$AA$15:$AA$56,0,L$13))),2),0)</f>
        <v>0</v>
      </c>
      <c r="M19" s="620" cm="1">
        <f t="array" aca="1" ref="M19" ca="1">IF(AUTOEVENTO="Manual",ROUND(SUMPRODUCT((CÁLCULO!$M$15:$M$56=EVENTOS!$C19)*(OFFSET(CÁLCULO!$AA$15:$AA$56,0,M$13))),2),0)</f>
        <v>0</v>
      </c>
      <c r="N19" s="620" cm="1">
        <f t="array" aca="1" ref="N19" ca="1">IF(AUTOEVENTO="Manual",ROUND(SUMPRODUCT((CÁLCULO!$M$15:$M$56=EVENTOS!$C19)*(OFFSET(CÁLCULO!$AA$15:$AA$56,0,N$13))),2),0)</f>
        <v>0</v>
      </c>
      <c r="O19" s="620" cm="1">
        <f t="array" aca="1" ref="O19" ca="1">IF(AUTOEVENTO="Manual",ROUND(SUMPRODUCT((CÁLCULO!$M$15:$M$56=EVENTOS!$C19)*(OFFSET(CÁLCULO!$AA$15:$AA$56,0,O$13))),2),0)</f>
        <v>0</v>
      </c>
      <c r="P19" s="620" cm="1">
        <f t="array" aca="1" ref="P19" ca="1">IF(AUTOEVENTO="Manual",ROUND(SUMPRODUCT((CÁLCULO!$M$15:$M$56=EVENTOS!$C19)*(OFFSET(CÁLCULO!$AA$15:$AA$56,0,P$13))),2),0)</f>
        <v>0</v>
      </c>
      <c r="Q19" s="620" cm="1">
        <f t="array" aca="1" ref="Q19" ca="1">IF(AUTOEVENTO="Manual",ROUND(SUMPRODUCT((CÁLCULO!$M$15:$M$56=EVENTOS!$C19)*(OFFSET(CÁLCULO!$AA$15:$AA$56,0,Q$13))),2),0)</f>
        <v>0</v>
      </c>
      <c r="R19" s="620" cm="1">
        <f t="array" aca="1" ref="R19" ca="1">IF(AUTOEVENTO="Manual",ROUND(SUMPRODUCT((CÁLCULO!$M$15:$M$56=EVENTOS!$C19)*(OFFSET(CÁLCULO!$AA$15:$AA$56,0,R$13))),2),0)</f>
        <v>0</v>
      </c>
      <c r="S19" s="620" cm="1">
        <f t="array" aca="1" ref="S19" ca="1">IF(AUTOEVENTO="Manual",ROUND(SUMPRODUCT((CÁLCULO!$M$15:$M$56=EVENTOS!$C19)*(OFFSET(CÁLCULO!$AA$15:$AA$56,0,S$13))),2),0)</f>
        <v>0</v>
      </c>
      <c r="T19" s="620" cm="1">
        <f t="array" aca="1" ref="T19" ca="1">IF(AUTOEVENTO="Manual",ROUND(SUMPRODUCT((CÁLCULO!$M$15:$M$56=EVENTOS!$C19)*(OFFSET(CÁLCULO!$AA$15:$AA$56,0,T$13))),2),0)</f>
        <v>0</v>
      </c>
      <c r="U19" s="620" cm="1">
        <f t="array" aca="1" ref="U19" ca="1">IF(AUTOEVENTO="Manual",ROUND(SUMPRODUCT((CÁLCULO!$M$15:$M$56=EVENTOS!$C19)*(OFFSET(CÁLCULO!$AA$15:$AA$56,0,U$13))),2),0)</f>
        <v>0</v>
      </c>
      <c r="V19" s="620" cm="1">
        <f t="array" aca="1" ref="V19" ca="1">IF(AUTOEVENTO="Manual",ROUND(SUMPRODUCT((CÁLCULO!$M$15:$M$56=EVENTOS!$C19)*(OFFSET(CÁLCULO!$AA$15:$AA$56,0,V$13))),2),0)</f>
        <v>0</v>
      </c>
      <c r="W19" s="620" cm="1">
        <f t="array" aca="1" ref="W19" ca="1">IF(AUTOEVENTO="Manual",ROUND(SUMPRODUCT((CÁLCULO!$M$15:$M$56=EVENTOS!$C19)*(OFFSET(CÁLCULO!$AA$15:$AA$56,0,W$13))),2),0)</f>
        <v>0</v>
      </c>
      <c r="X19" s="620" cm="1">
        <f t="array" aca="1" ref="X19" ca="1">IF(AUTOEVENTO="Manual",ROUND(SUMPRODUCT((CÁLCULO!$M$15:$M$56=EVENTOS!$C19)*(OFFSET(CÁLCULO!$AA$15:$AA$56,0,X$13))),2),0)</f>
        <v>0</v>
      </c>
      <c r="Y19" s="620" cm="1">
        <f t="array" aca="1" ref="Y19" ca="1">IF(AUTOEVENTO="Manual",ROUND(SUMPRODUCT((CÁLCULO!$M$15:$M$56=EVENTOS!$C19)*(OFFSET(CÁLCULO!$AA$15:$AA$56,0,Y$13))),2),0)</f>
        <v>0</v>
      </c>
    </row>
    <row r="20" spans="1:25" x14ac:dyDescent="0.2">
      <c r="A20" s="506" t="str">
        <f t="shared" si="3"/>
        <v>F</v>
      </c>
      <c r="B20" t="str">
        <f t="shared" ca="1" si="4"/>
        <v>5. RECAPEAMENTO/RECUPERAÇÃO ASFÁLTICA - TRECHO DA RUA ANTÔNIO BANEDITO DE OLIVEIRA</v>
      </c>
      <c r="C20" s="182" cm="1">
        <f t="array" aca="1" ref="C20" ca="1">IF(OR(ROW(C20)=ROW(EVENTOS.firstrow)+1,AND(OFFSET(C20,-1,0)&lt;&gt;" ",OFFSET(C20,-1,1)&lt;&gt;"")),OFFSET(C20,-1,0)+1," ")</f>
        <v>5</v>
      </c>
      <c r="D20" s="675" t="s">
        <v>1044</v>
      </c>
      <c r="E20" s="620" cm="1">
        <f t="array" aca="1" ref="E20" ca="1">IF(AUTOEVENTO="Manual",ROUND(SUMPRODUCT((CÁLCULO!$M$15:$M$56=EVENTOS!$C20)*(OFFSET(CÁLCULO!$AA$15:$AA$56,0,E$13))),2),0)</f>
        <v>227114.05</v>
      </c>
      <c r="F20" s="183">
        <f ca="1">IF(AUTOEVENTO="Manual",ROUND(SUMPRODUCT((CÁLCULO!$M$15:$M$56=EVENTOS!$C20)*(OFFSET(CÁLCULO!$AA$15,0,1):OFFSET(CÁLCULO!$AL$56,0,-1))),2),0)</f>
        <v>227114.05</v>
      </c>
      <c r="G20" s="621" t="str">
        <f t="shared" ca="1" si="5"/>
        <v/>
      </c>
      <c r="H20" s="620" cm="1">
        <f t="array" aca="1" ref="H20" ca="1">IF(AUTOEVENTO="Manual",ROUND(SUMPRODUCT((CÁLCULO!$M$15:$M$56=EVENTOS!$C20)*(OFFSET(CÁLCULO!$AA$15:$AA$56,0,H$13))),2),0)</f>
        <v>227114.05</v>
      </c>
      <c r="I20" s="620" cm="1">
        <f t="array" aca="1" ref="I20" ca="1">IF(AUTOEVENTO="Manual",ROUND(SUMPRODUCT((CÁLCULO!$M$15:$M$56=EVENTOS!$C20)*(OFFSET(CÁLCULO!$AA$15:$AA$56,0,I$13))),2),0)</f>
        <v>0</v>
      </c>
      <c r="J20" s="620" cm="1">
        <f t="array" aca="1" ref="J20" ca="1">IF(AUTOEVENTO="Manual",ROUND(SUMPRODUCT((CÁLCULO!$M$15:$M$56=EVENTOS!$C20)*(OFFSET(CÁLCULO!$AA$15:$AA$56,0,J$13))),2),0)</f>
        <v>0</v>
      </c>
      <c r="K20" s="620" cm="1">
        <f t="array" aca="1" ref="K20" ca="1">IF(AUTOEVENTO="Manual",ROUND(SUMPRODUCT((CÁLCULO!$M$15:$M$56=EVENTOS!$C20)*(OFFSET(CÁLCULO!$AA$15:$AA$56,0,K$13))),2),0)</f>
        <v>0</v>
      </c>
      <c r="L20" s="620" cm="1">
        <f t="array" aca="1" ref="L20" ca="1">IF(AUTOEVENTO="Manual",ROUND(SUMPRODUCT((CÁLCULO!$M$15:$M$56=EVENTOS!$C20)*(OFFSET(CÁLCULO!$AA$15:$AA$56,0,L$13))),2),0)</f>
        <v>0</v>
      </c>
      <c r="M20" s="620" cm="1">
        <f t="array" aca="1" ref="M20" ca="1">IF(AUTOEVENTO="Manual",ROUND(SUMPRODUCT((CÁLCULO!$M$15:$M$56=EVENTOS!$C20)*(OFFSET(CÁLCULO!$AA$15:$AA$56,0,M$13))),2),0)</f>
        <v>0</v>
      </c>
      <c r="N20" s="620" cm="1">
        <f t="array" aca="1" ref="N20" ca="1">IF(AUTOEVENTO="Manual",ROUND(SUMPRODUCT((CÁLCULO!$M$15:$M$56=EVENTOS!$C20)*(OFFSET(CÁLCULO!$AA$15:$AA$56,0,N$13))),2),0)</f>
        <v>0</v>
      </c>
      <c r="O20" s="620" cm="1">
        <f t="array" aca="1" ref="O20" ca="1">IF(AUTOEVENTO="Manual",ROUND(SUMPRODUCT((CÁLCULO!$M$15:$M$56=EVENTOS!$C20)*(OFFSET(CÁLCULO!$AA$15:$AA$56,0,O$13))),2),0)</f>
        <v>0</v>
      </c>
      <c r="P20" s="620" cm="1">
        <f t="array" aca="1" ref="P20" ca="1">IF(AUTOEVENTO="Manual",ROUND(SUMPRODUCT((CÁLCULO!$M$15:$M$56=EVENTOS!$C20)*(OFFSET(CÁLCULO!$AA$15:$AA$56,0,P$13))),2),0)</f>
        <v>0</v>
      </c>
      <c r="Q20" s="620" cm="1">
        <f t="array" aca="1" ref="Q20" ca="1">IF(AUTOEVENTO="Manual",ROUND(SUMPRODUCT((CÁLCULO!$M$15:$M$56=EVENTOS!$C20)*(OFFSET(CÁLCULO!$AA$15:$AA$56,0,Q$13))),2),0)</f>
        <v>0</v>
      </c>
      <c r="R20" s="620" cm="1">
        <f t="array" aca="1" ref="R20" ca="1">IF(AUTOEVENTO="Manual",ROUND(SUMPRODUCT((CÁLCULO!$M$15:$M$56=EVENTOS!$C20)*(OFFSET(CÁLCULO!$AA$15:$AA$56,0,R$13))),2),0)</f>
        <v>0</v>
      </c>
      <c r="S20" s="620" cm="1">
        <f t="array" aca="1" ref="S20" ca="1">IF(AUTOEVENTO="Manual",ROUND(SUMPRODUCT((CÁLCULO!$M$15:$M$56=EVENTOS!$C20)*(OFFSET(CÁLCULO!$AA$15:$AA$56,0,S$13))),2),0)</f>
        <v>0</v>
      </c>
      <c r="T20" s="620" cm="1">
        <f t="array" aca="1" ref="T20" ca="1">IF(AUTOEVENTO="Manual",ROUND(SUMPRODUCT((CÁLCULO!$M$15:$M$56=EVENTOS!$C20)*(OFFSET(CÁLCULO!$AA$15:$AA$56,0,T$13))),2),0)</f>
        <v>0</v>
      </c>
      <c r="U20" s="620" cm="1">
        <f t="array" aca="1" ref="U20" ca="1">IF(AUTOEVENTO="Manual",ROUND(SUMPRODUCT((CÁLCULO!$M$15:$M$56=EVENTOS!$C20)*(OFFSET(CÁLCULO!$AA$15:$AA$56,0,U$13))),2),0)</f>
        <v>0</v>
      </c>
      <c r="V20" s="620" cm="1">
        <f t="array" aca="1" ref="V20" ca="1">IF(AUTOEVENTO="Manual",ROUND(SUMPRODUCT((CÁLCULO!$M$15:$M$56=EVENTOS!$C20)*(OFFSET(CÁLCULO!$AA$15:$AA$56,0,V$13))),2),0)</f>
        <v>0</v>
      </c>
      <c r="W20" s="620" cm="1">
        <f t="array" aca="1" ref="W20" ca="1">IF(AUTOEVENTO="Manual",ROUND(SUMPRODUCT((CÁLCULO!$M$15:$M$56=EVENTOS!$C20)*(OFFSET(CÁLCULO!$AA$15:$AA$56,0,W$13))),2),0)</f>
        <v>0</v>
      </c>
      <c r="X20" s="620" cm="1">
        <f t="array" aca="1" ref="X20" ca="1">IF(AUTOEVENTO="Manual",ROUND(SUMPRODUCT((CÁLCULO!$M$15:$M$56=EVENTOS!$C20)*(OFFSET(CÁLCULO!$AA$15:$AA$56,0,X$13))),2),0)</f>
        <v>0</v>
      </c>
      <c r="Y20" s="620" cm="1">
        <f t="array" aca="1" ref="Y20" ca="1">IF(AUTOEVENTO="Manual",ROUND(SUMPRODUCT((CÁLCULO!$M$15:$M$56=EVENTOS!$C20)*(OFFSET(CÁLCULO!$AA$15:$AA$56,0,Y$13))),2),0)</f>
        <v>0</v>
      </c>
    </row>
    <row r="21" spans="1:25" x14ac:dyDescent="0.2">
      <c r="A21" s="506" t="str">
        <f t="shared" si="3"/>
        <v>F</v>
      </c>
      <c r="B21" t="str">
        <f t="shared" ca="1" si="4"/>
        <v>6. RECAPEAMENTO/RECUPERAÇÃO ASFÁLTICA - TRECHO DA RUA ANTÔNIO MORAES ROSA</v>
      </c>
      <c r="C21" s="182" cm="1">
        <f t="array" aca="1" ref="C21" ca="1">IF(OR(ROW(C21)=ROW(EVENTOS.firstrow)+1,AND(OFFSET(C21,-1,0)&lt;&gt;" ",OFFSET(C21,-1,1)&lt;&gt;"")),OFFSET(C21,-1,0)+1," ")</f>
        <v>6</v>
      </c>
      <c r="D21" s="675" t="s">
        <v>1045</v>
      </c>
      <c r="E21" s="620" cm="1">
        <f t="array" aca="1" ref="E21" ca="1">IF(AUTOEVENTO="Manual",ROUND(SUMPRODUCT((CÁLCULO!$M$15:$M$56=EVENTOS!$C21)*(OFFSET(CÁLCULO!$AA$15:$AA$56,0,E$13))),2),0)</f>
        <v>150169.41</v>
      </c>
      <c r="F21" s="183">
        <f ca="1">IF(AUTOEVENTO="Manual",ROUND(SUMPRODUCT((CÁLCULO!$M$15:$M$56=EVENTOS!$C21)*(OFFSET(CÁLCULO!$AA$15,0,1):OFFSET(CÁLCULO!$AL$56,0,-1))),2),0)</f>
        <v>150169.41</v>
      </c>
      <c r="G21" s="621" t="str">
        <f t="shared" ca="1" si="5"/>
        <v/>
      </c>
      <c r="H21" s="620" cm="1">
        <f t="array" aca="1" ref="H21" ca="1">IF(AUTOEVENTO="Manual",ROUND(SUMPRODUCT((CÁLCULO!$M$15:$M$56=EVENTOS!$C21)*(OFFSET(CÁLCULO!$AA$15:$AA$56,0,H$13))),2),0)</f>
        <v>150169.41</v>
      </c>
      <c r="I21" s="620" cm="1">
        <f t="array" aca="1" ref="I21" ca="1">IF(AUTOEVENTO="Manual",ROUND(SUMPRODUCT((CÁLCULO!$M$15:$M$56=EVENTOS!$C21)*(OFFSET(CÁLCULO!$AA$15:$AA$56,0,I$13))),2),0)</f>
        <v>0</v>
      </c>
      <c r="J21" s="620" cm="1">
        <f t="array" aca="1" ref="J21" ca="1">IF(AUTOEVENTO="Manual",ROUND(SUMPRODUCT((CÁLCULO!$M$15:$M$56=EVENTOS!$C21)*(OFFSET(CÁLCULO!$AA$15:$AA$56,0,J$13))),2),0)</f>
        <v>0</v>
      </c>
      <c r="K21" s="620" cm="1">
        <f t="array" aca="1" ref="K21" ca="1">IF(AUTOEVENTO="Manual",ROUND(SUMPRODUCT((CÁLCULO!$M$15:$M$56=EVENTOS!$C21)*(OFFSET(CÁLCULO!$AA$15:$AA$56,0,K$13))),2),0)</f>
        <v>0</v>
      </c>
      <c r="L21" s="620" cm="1">
        <f t="array" aca="1" ref="L21" ca="1">IF(AUTOEVENTO="Manual",ROUND(SUMPRODUCT((CÁLCULO!$M$15:$M$56=EVENTOS!$C21)*(OFFSET(CÁLCULO!$AA$15:$AA$56,0,L$13))),2),0)</f>
        <v>0</v>
      </c>
      <c r="M21" s="620" cm="1">
        <f t="array" aca="1" ref="M21" ca="1">IF(AUTOEVENTO="Manual",ROUND(SUMPRODUCT((CÁLCULO!$M$15:$M$56=EVENTOS!$C21)*(OFFSET(CÁLCULO!$AA$15:$AA$56,0,M$13))),2),0)</f>
        <v>0</v>
      </c>
      <c r="N21" s="620" cm="1">
        <f t="array" aca="1" ref="N21" ca="1">IF(AUTOEVENTO="Manual",ROUND(SUMPRODUCT((CÁLCULO!$M$15:$M$56=EVENTOS!$C21)*(OFFSET(CÁLCULO!$AA$15:$AA$56,0,N$13))),2),0)</f>
        <v>0</v>
      </c>
      <c r="O21" s="620" cm="1">
        <f t="array" aca="1" ref="O21" ca="1">IF(AUTOEVENTO="Manual",ROUND(SUMPRODUCT((CÁLCULO!$M$15:$M$56=EVENTOS!$C21)*(OFFSET(CÁLCULO!$AA$15:$AA$56,0,O$13))),2),0)</f>
        <v>0</v>
      </c>
      <c r="P21" s="620" cm="1">
        <f t="array" aca="1" ref="P21" ca="1">IF(AUTOEVENTO="Manual",ROUND(SUMPRODUCT((CÁLCULO!$M$15:$M$56=EVENTOS!$C21)*(OFFSET(CÁLCULO!$AA$15:$AA$56,0,P$13))),2),0)</f>
        <v>0</v>
      </c>
      <c r="Q21" s="620" cm="1">
        <f t="array" aca="1" ref="Q21" ca="1">IF(AUTOEVENTO="Manual",ROUND(SUMPRODUCT((CÁLCULO!$M$15:$M$56=EVENTOS!$C21)*(OFFSET(CÁLCULO!$AA$15:$AA$56,0,Q$13))),2),0)</f>
        <v>0</v>
      </c>
      <c r="R21" s="620" cm="1">
        <f t="array" aca="1" ref="R21" ca="1">IF(AUTOEVENTO="Manual",ROUND(SUMPRODUCT((CÁLCULO!$M$15:$M$56=EVENTOS!$C21)*(OFFSET(CÁLCULO!$AA$15:$AA$56,0,R$13))),2),0)</f>
        <v>0</v>
      </c>
      <c r="S21" s="620" cm="1">
        <f t="array" aca="1" ref="S21" ca="1">IF(AUTOEVENTO="Manual",ROUND(SUMPRODUCT((CÁLCULO!$M$15:$M$56=EVENTOS!$C21)*(OFFSET(CÁLCULO!$AA$15:$AA$56,0,S$13))),2),0)</f>
        <v>0</v>
      </c>
      <c r="T21" s="620" cm="1">
        <f t="array" aca="1" ref="T21" ca="1">IF(AUTOEVENTO="Manual",ROUND(SUMPRODUCT((CÁLCULO!$M$15:$M$56=EVENTOS!$C21)*(OFFSET(CÁLCULO!$AA$15:$AA$56,0,T$13))),2),0)</f>
        <v>0</v>
      </c>
      <c r="U21" s="620" cm="1">
        <f t="array" aca="1" ref="U21" ca="1">IF(AUTOEVENTO="Manual",ROUND(SUMPRODUCT((CÁLCULO!$M$15:$M$56=EVENTOS!$C21)*(OFFSET(CÁLCULO!$AA$15:$AA$56,0,U$13))),2),0)</f>
        <v>0</v>
      </c>
      <c r="V21" s="620" cm="1">
        <f t="array" aca="1" ref="V21" ca="1">IF(AUTOEVENTO="Manual",ROUND(SUMPRODUCT((CÁLCULO!$M$15:$M$56=EVENTOS!$C21)*(OFFSET(CÁLCULO!$AA$15:$AA$56,0,V$13))),2),0)</f>
        <v>0</v>
      </c>
      <c r="W21" s="620" cm="1">
        <f t="array" aca="1" ref="W21" ca="1">IF(AUTOEVENTO="Manual",ROUND(SUMPRODUCT((CÁLCULO!$M$15:$M$56=EVENTOS!$C21)*(OFFSET(CÁLCULO!$AA$15:$AA$56,0,W$13))),2),0)</f>
        <v>0</v>
      </c>
      <c r="X21" s="620" cm="1">
        <f t="array" aca="1" ref="X21" ca="1">IF(AUTOEVENTO="Manual",ROUND(SUMPRODUCT((CÁLCULO!$M$15:$M$56=EVENTOS!$C21)*(OFFSET(CÁLCULO!$AA$15:$AA$56,0,X$13))),2),0)</f>
        <v>0</v>
      </c>
      <c r="Y21" s="620" cm="1">
        <f t="array" aca="1" ref="Y21" ca="1">IF(AUTOEVENTO="Manual",ROUND(SUMPRODUCT((CÁLCULO!$M$15:$M$56=EVENTOS!$C21)*(OFFSET(CÁLCULO!$AA$15:$AA$56,0,Y$13))),2),0)</f>
        <v>0</v>
      </c>
    </row>
    <row r="22" spans="1:25" x14ac:dyDescent="0.2">
      <c r="A22" s="506" t="str">
        <f t="shared" si="3"/>
        <v>F</v>
      </c>
      <c r="B22" t="str">
        <f t="shared" ca="1" si="4"/>
        <v>7. LEVANTAMENTO FINAL</v>
      </c>
      <c r="C22" s="182" cm="1">
        <f t="array" aca="1" ref="C22" ca="1">IF(OR(ROW(C22)=ROW(EVENTOS.firstrow)+1,AND(OFFSET(C22,-1,0)&lt;&gt;" ",OFFSET(C22,-1,1)&lt;&gt;"")),OFFSET(C22,-1,0)+1," ")</f>
        <v>7</v>
      </c>
      <c r="D22" s="675" t="s">
        <v>1046</v>
      </c>
      <c r="E22" s="620" cm="1">
        <f t="array" aca="1" ref="E22" ca="1">IF(AUTOEVENTO="Manual",ROUND(SUMPRODUCT((CÁLCULO!$M$15:$M$56=EVENTOS!$C22)*(OFFSET(CÁLCULO!$AA$15:$AA$56,0,E$13))),2),0)</f>
        <v>3093.08</v>
      </c>
      <c r="F22" s="183">
        <f ca="1">IF(AUTOEVENTO="Manual",ROUND(SUMPRODUCT((CÁLCULO!$M$15:$M$56=EVENTOS!$C22)*(OFFSET(CÁLCULO!$AA$15,0,1):OFFSET(CÁLCULO!$AL$56,0,-1))),2),0)</f>
        <v>3093.08</v>
      </c>
      <c r="G22" s="621" t="str">
        <f t="shared" ca="1" si="5"/>
        <v/>
      </c>
      <c r="H22" s="620" cm="1">
        <f t="array" aca="1" ref="H22" ca="1">IF(AUTOEVENTO="Manual",ROUND(SUMPRODUCT((CÁLCULO!$M$15:$M$56=EVENTOS!$C22)*(OFFSET(CÁLCULO!$AA$15:$AA$56,0,H$13))),2),0)</f>
        <v>3093.08</v>
      </c>
      <c r="I22" s="620" cm="1">
        <f t="array" aca="1" ref="I22" ca="1">IF(AUTOEVENTO="Manual",ROUND(SUMPRODUCT((CÁLCULO!$M$15:$M$56=EVENTOS!$C22)*(OFFSET(CÁLCULO!$AA$15:$AA$56,0,I$13))),2),0)</f>
        <v>0</v>
      </c>
      <c r="J22" s="620" cm="1">
        <f t="array" aca="1" ref="J22" ca="1">IF(AUTOEVENTO="Manual",ROUND(SUMPRODUCT((CÁLCULO!$M$15:$M$56=EVENTOS!$C22)*(OFFSET(CÁLCULO!$AA$15:$AA$56,0,J$13))),2),0)</f>
        <v>0</v>
      </c>
      <c r="K22" s="620" cm="1">
        <f t="array" aca="1" ref="K22" ca="1">IF(AUTOEVENTO="Manual",ROUND(SUMPRODUCT((CÁLCULO!$M$15:$M$56=EVENTOS!$C22)*(OFFSET(CÁLCULO!$AA$15:$AA$56,0,K$13))),2),0)</f>
        <v>0</v>
      </c>
      <c r="L22" s="620" cm="1">
        <f t="array" aca="1" ref="L22" ca="1">IF(AUTOEVENTO="Manual",ROUND(SUMPRODUCT((CÁLCULO!$M$15:$M$56=EVENTOS!$C22)*(OFFSET(CÁLCULO!$AA$15:$AA$56,0,L$13))),2),0)</f>
        <v>0</v>
      </c>
      <c r="M22" s="620" cm="1">
        <f t="array" aca="1" ref="M22" ca="1">IF(AUTOEVENTO="Manual",ROUND(SUMPRODUCT((CÁLCULO!$M$15:$M$56=EVENTOS!$C22)*(OFFSET(CÁLCULO!$AA$15:$AA$56,0,M$13))),2),0)</f>
        <v>0</v>
      </c>
      <c r="N22" s="620" cm="1">
        <f t="array" aca="1" ref="N22" ca="1">IF(AUTOEVENTO="Manual",ROUND(SUMPRODUCT((CÁLCULO!$M$15:$M$56=EVENTOS!$C22)*(OFFSET(CÁLCULO!$AA$15:$AA$56,0,N$13))),2),0)</f>
        <v>0</v>
      </c>
      <c r="O22" s="620" cm="1">
        <f t="array" aca="1" ref="O22" ca="1">IF(AUTOEVENTO="Manual",ROUND(SUMPRODUCT((CÁLCULO!$M$15:$M$56=EVENTOS!$C22)*(OFFSET(CÁLCULO!$AA$15:$AA$56,0,O$13))),2),0)</f>
        <v>0</v>
      </c>
      <c r="P22" s="620" cm="1">
        <f t="array" aca="1" ref="P22" ca="1">IF(AUTOEVENTO="Manual",ROUND(SUMPRODUCT((CÁLCULO!$M$15:$M$56=EVENTOS!$C22)*(OFFSET(CÁLCULO!$AA$15:$AA$56,0,P$13))),2),0)</f>
        <v>0</v>
      </c>
      <c r="Q22" s="620" cm="1">
        <f t="array" aca="1" ref="Q22" ca="1">IF(AUTOEVENTO="Manual",ROUND(SUMPRODUCT((CÁLCULO!$M$15:$M$56=EVENTOS!$C22)*(OFFSET(CÁLCULO!$AA$15:$AA$56,0,Q$13))),2),0)</f>
        <v>0</v>
      </c>
      <c r="R22" s="620" cm="1">
        <f t="array" aca="1" ref="R22" ca="1">IF(AUTOEVENTO="Manual",ROUND(SUMPRODUCT((CÁLCULO!$M$15:$M$56=EVENTOS!$C22)*(OFFSET(CÁLCULO!$AA$15:$AA$56,0,R$13))),2),0)</f>
        <v>0</v>
      </c>
      <c r="S22" s="620" cm="1">
        <f t="array" aca="1" ref="S22" ca="1">IF(AUTOEVENTO="Manual",ROUND(SUMPRODUCT((CÁLCULO!$M$15:$M$56=EVENTOS!$C22)*(OFFSET(CÁLCULO!$AA$15:$AA$56,0,S$13))),2),0)</f>
        <v>0</v>
      </c>
      <c r="T22" s="620" cm="1">
        <f t="array" aca="1" ref="T22" ca="1">IF(AUTOEVENTO="Manual",ROUND(SUMPRODUCT((CÁLCULO!$M$15:$M$56=EVENTOS!$C22)*(OFFSET(CÁLCULO!$AA$15:$AA$56,0,T$13))),2),0)</f>
        <v>0</v>
      </c>
      <c r="U22" s="620" cm="1">
        <f t="array" aca="1" ref="U22" ca="1">IF(AUTOEVENTO="Manual",ROUND(SUMPRODUCT((CÁLCULO!$M$15:$M$56=EVENTOS!$C22)*(OFFSET(CÁLCULO!$AA$15:$AA$56,0,U$13))),2),0)</f>
        <v>0</v>
      </c>
      <c r="V22" s="620" cm="1">
        <f t="array" aca="1" ref="V22" ca="1">IF(AUTOEVENTO="Manual",ROUND(SUMPRODUCT((CÁLCULO!$M$15:$M$56=EVENTOS!$C22)*(OFFSET(CÁLCULO!$AA$15:$AA$56,0,V$13))),2),0)</f>
        <v>0</v>
      </c>
      <c r="W22" s="620" cm="1">
        <f t="array" aca="1" ref="W22" ca="1">IF(AUTOEVENTO="Manual",ROUND(SUMPRODUCT((CÁLCULO!$M$15:$M$56=EVENTOS!$C22)*(OFFSET(CÁLCULO!$AA$15:$AA$56,0,W$13))),2),0)</f>
        <v>0</v>
      </c>
      <c r="X22" s="620" cm="1">
        <f t="array" aca="1" ref="X22" ca="1">IF(AUTOEVENTO="Manual",ROUND(SUMPRODUCT((CÁLCULO!$M$15:$M$56=EVENTOS!$C22)*(OFFSET(CÁLCULO!$AA$15:$AA$56,0,X$13))),2),0)</f>
        <v>0</v>
      </c>
      <c r="Y22" s="620" cm="1">
        <f t="array" aca="1" ref="Y22" ca="1">IF(AUTOEVENTO="Manual",ROUND(SUMPRODUCT((CÁLCULO!$M$15:$M$56=EVENTOS!$C22)*(OFFSET(CÁLCULO!$AA$15:$AA$56,0,Y$13))),2),0)</f>
        <v>0</v>
      </c>
    </row>
    <row r="23" spans="1:25" ht="5.0999999999999996" customHeight="1" x14ac:dyDescent="0.2">
      <c r="A23" s="506" t="s">
        <v>536</v>
      </c>
      <c r="C23" s="629"/>
      <c r="D23" s="630"/>
      <c r="E23" s="631"/>
      <c r="F23" s="184"/>
      <c r="G23" s="631"/>
      <c r="H23" s="631"/>
      <c r="I23" s="631"/>
      <c r="J23" s="631"/>
      <c r="K23" s="631"/>
      <c r="L23" s="631"/>
      <c r="M23" s="631"/>
      <c r="N23" s="631"/>
      <c r="O23" s="631"/>
      <c r="P23" s="631"/>
      <c r="Q23" s="631"/>
      <c r="R23" s="631"/>
      <c r="S23" s="631"/>
      <c r="T23" s="631"/>
      <c r="U23" s="631"/>
      <c r="V23" s="631"/>
      <c r="W23" s="631"/>
      <c r="X23" s="631"/>
      <c r="Y23" s="631"/>
    </row>
    <row r="24" spans="1:25" x14ac:dyDescent="0.2">
      <c r="A24" s="506" t="s">
        <v>536</v>
      </c>
    </row>
    <row r="25" spans="1:25" x14ac:dyDescent="0.2">
      <c r="A25" s="506" t="s">
        <v>536</v>
      </c>
    </row>
    <row r="26" spans="1:25" ht="15" x14ac:dyDescent="0.2">
      <c r="A26" s="506" t="s">
        <v>536</v>
      </c>
      <c r="D26" s="493" t="str">
        <f>Import.Município</f>
        <v>PILAR DO SUL</v>
      </c>
      <c r="L26" s="460"/>
      <c r="M26" s="417"/>
      <c r="N26" s="417"/>
      <c r="O26" s="417"/>
      <c r="V26" s="460"/>
      <c r="W26" s="417"/>
      <c r="X26" s="417"/>
      <c r="Y26" s="417"/>
    </row>
    <row r="27" spans="1:25" x14ac:dyDescent="0.2">
      <c r="A27" s="506" t="s">
        <v>536</v>
      </c>
      <c r="D27" s="9" t="s">
        <v>693</v>
      </c>
      <c r="H27" s="544"/>
      <c r="I27" s="544"/>
      <c r="J27" s="544"/>
      <c r="L27" s="181" t="s">
        <v>696</v>
      </c>
      <c r="V27" s="181" t="s">
        <v>696</v>
      </c>
    </row>
    <row r="28" spans="1:25" x14ac:dyDescent="0.2">
      <c r="A28" s="506" t="s">
        <v>536</v>
      </c>
      <c r="H28" s="544"/>
      <c r="I28" s="544"/>
      <c r="J28" s="544"/>
      <c r="L28" s="398" t="str">
        <f t="array" aca="1" ref="L28:L30" ca="1">OFFSET(Import.RespOrçamento,0,-1) &amp; " " &amp; Import.RespOrçamento</f>
        <v>Nome: EDUARDO OLIVEIRA DOS SANTOS JUNIOR</v>
      </c>
      <c r="V28" s="398" t="str">
        <f t="array" aca="1" ref="V28:V30" ca="1">OFFSET(Import.RespOrçamento,0,-1) &amp; " " &amp; Import.RespOrçamento</f>
        <v>Nome: EDUARDO OLIVEIRA DOS SANTOS JUNIOR</v>
      </c>
    </row>
    <row r="29" spans="1:25" x14ac:dyDescent="0.2">
      <c r="A29" s="506" t="s">
        <v>536</v>
      </c>
      <c r="D29" s="494">
        <f ca="1">DADOS!$C$25</f>
        <v>46142</v>
      </c>
      <c r="L29" s="398" t="str">
        <f ca="1"/>
        <v>CREA/CAU: 5069244515-SP</v>
      </c>
      <c r="V29" s="398" t="str">
        <f ca="1"/>
        <v>CREA/CAU: 5069244515-SP</v>
      </c>
    </row>
    <row r="30" spans="1:25" x14ac:dyDescent="0.2">
      <c r="A30" s="506" t="s">
        <v>536</v>
      </c>
      <c r="D30" s="9" t="s">
        <v>694</v>
      </c>
      <c r="L30" s="398" t="str">
        <f ca="1"/>
        <v>ART/RRT: 2620260743929</v>
      </c>
      <c r="V30" s="398" t="str">
        <f ca="1"/>
        <v>ART/RRT: 2620260743929</v>
      </c>
    </row>
  </sheetData>
  <sheetProtection algorithmName="SHA-512" hashValue="oqKQGMzj5U+olq5CEGkf5DzhKxb7EArN3Y4922sZ3ejmuPh1d7gyWlE5Mi/ICrKKx17D0OAftK7CjM16MUNZww==" saltValue="U7ro0dgl5fCmvWUFE8o62g==" spinCount="100000" sheet="1" objects="1" scenarios="1"/>
  <autoFilter ref="A13:A30"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23">
    <cfRule type="expression" dxfId="266" priority="1" stopIfTrue="1">
      <formula>OR(AUTOEVENTO&lt;&gt;"Manual",ACOMPANHAMENTO="BM",C$10=0,C$13=0,$C1=" ")</formula>
    </cfRule>
  </conditionalFormatting>
  <conditionalFormatting sqref="A15 C15:XFD15">
    <cfRule type="expression" dxfId="265"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63" firstPageNumber="0" orientation="landscape"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24"/>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1</v>
      </c>
      <c r="O1" s="632" cm="1">
        <f t="array" ref="O1">IF(OR(ACOMPANHAMENTO="BM",N1=0,O12=""),0,1)</f>
        <v>0</v>
      </c>
      <c r="P1" t="s">
        <v>764</v>
      </c>
      <c r="Q1" s="632" cm="1">
        <f t="array" ref="Q1">IF(OR(ACOMPANHAMENTO="BM",P1=0,Q12=""),0,1)</f>
        <v>1</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46" t="str" cm="1">
        <f t="array" ref="F6">IF(ACOMPANHAMENTO="BM","MEMÓRIA DE CÁLCULO","PLQ - PLANILHA DE LEVANTAMENTO DE QUANTIDADES")</f>
        <v>PLQ - PLANILHA DE LEVANTAMENTO DE QUANTIDADES</v>
      </c>
      <c r="G6" s="746"/>
      <c r="H6" s="746"/>
      <c r="I6" s="141"/>
      <c r="K6" s="141"/>
      <c r="L6" s="141"/>
      <c r="M6" s="142"/>
      <c r="N6" s="141"/>
      <c r="P6" s="141"/>
      <c r="Q6" s="747" t="s">
        <v>644</v>
      </c>
      <c r="R6" s="748"/>
      <c r="Y6" s="698" t="s">
        <v>644</v>
      </c>
      <c r="Z6" s="698"/>
    </row>
    <row r="7" spans="1:59" ht="15" customHeight="1" x14ac:dyDescent="0.2">
      <c r="F7" s="749" t="str" cm="1">
        <f t="array" ref="F7">IF(ACOMPANHAMENTO="BM","","Memória de Cálculo")&amp;" - "&amp;import.recurso</f>
        <v>Memória de Cálculo - OGU</v>
      </c>
      <c r="G7" s="749"/>
      <c r="H7" s="749"/>
      <c r="I7" s="143"/>
      <c r="K7" s="143"/>
      <c r="L7" s="143"/>
      <c r="M7" s="144"/>
      <c r="N7" s="143"/>
      <c r="P7" s="143"/>
      <c r="Q7" s="750" t="s">
        <v>647</v>
      </c>
      <c r="R7" s="751"/>
      <c r="Y7" s="699" t="s">
        <v>647</v>
      </c>
      <c r="Z7" s="699"/>
    </row>
    <row r="8" spans="1:59" ht="12.75" customHeight="1" x14ac:dyDescent="0.2">
      <c r="AE8" s="476"/>
    </row>
    <row r="9" spans="1:59" ht="12.75" customHeight="1" x14ac:dyDescent="0.2">
      <c r="E9" s="679" t="s">
        <v>708</v>
      </c>
      <c r="F9" s="679"/>
      <c r="G9" s="679" t="s">
        <v>707</v>
      </c>
      <c r="H9" s="679"/>
      <c r="I9" s="87" t="s">
        <v>650</v>
      </c>
      <c r="K9" s="145" t="s">
        <v>652</v>
      </c>
      <c r="L9" s="146"/>
      <c r="M9" s="146"/>
      <c r="N9" s="146"/>
      <c r="O9" s="146"/>
      <c r="P9" s="146"/>
      <c r="Q9" s="146"/>
      <c r="R9" s="147"/>
      <c r="S9" s="679" t="s">
        <v>650</v>
      </c>
      <c r="T9" s="679"/>
      <c r="U9" s="679" t="s">
        <v>652</v>
      </c>
      <c r="V9" s="679"/>
      <c r="W9" s="679"/>
      <c r="X9" s="679"/>
      <c r="Y9" s="679"/>
      <c r="Z9" s="679"/>
    </row>
    <row r="10" spans="1:59" ht="12.75" customHeight="1" x14ac:dyDescent="0.2">
      <c r="A10" s="601" t="s">
        <v>768</v>
      </c>
      <c r="E10" s="682" t="str">
        <f>Import.Apelido</f>
        <v>INFRAESTRUTURA URBANA COM RECUPERAÇÃO, DRENAGEM E RECAPEAMENTO ASFÁLTICO RUAS DO MUNICÍPIO DE PILAR DO SUL</v>
      </c>
      <c r="F10" s="682"/>
      <c r="G10" s="682" t="str" cm="1">
        <f t="array" ref="G10">Import.TransfereGOV</f>
        <v>11213/2025</v>
      </c>
      <c r="H10" s="682"/>
      <c r="I10" s="90" t="str">
        <f>Import.CR</f>
        <v>1101329-56</v>
      </c>
      <c r="K10" s="148" t="str">
        <f>Import.Proponente</f>
        <v>PREFEITURA MUNICIPAL DE PILAR DO SUL</v>
      </c>
      <c r="L10" s="149"/>
      <c r="M10" s="100"/>
      <c r="N10" s="149"/>
      <c r="O10" s="149"/>
      <c r="P10" s="149"/>
      <c r="Q10" s="149"/>
      <c r="R10" s="91"/>
      <c r="S10" s="682" t="str">
        <f>Import.CR</f>
        <v>1101329-56</v>
      </c>
      <c r="T10" s="682"/>
      <c r="U10" s="682" t="str">
        <f>Import.Proponente</f>
        <v>PREFEITURA MUNICIPAL DE PILAR DO SUL</v>
      </c>
      <c r="V10" s="682"/>
      <c r="W10" s="682"/>
      <c r="X10" s="682"/>
      <c r="Y10" s="682"/>
      <c r="Z10" s="682"/>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IF(COUNTIF($J$15:$J$56,"►E")&gt;0,"Não pode haver serviços sem agrupador de eventos",
  IF(COUNTIF($P$11:$AA$11,"▼")&gt;0,"Não pode haver frentes de obra sem quantidades",
  IF(COUNTIF($P$11:$AA$11,"Nome &gt;100")&gt;0,"Nome da frente de obra com mais de 100 caracteres","")))))</f>
        <v/>
      </c>
      <c r="N11" s="573" t="str">
        <f ca="1">IF(OR(COUNTIF($J$15:$J$56,"►E")&gt;0,COUNTIF($J$15:$J$56,"►Q")&gt;0),"",
IF(COUNTIF($J$15:$J$56,"►S")&gt;0,"Preencha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IF(COUNTIF($J$15:$J$56,"►E")&gt;0,"Falta Definir o Agrupador de Evento na linha "&amp;MATCH("►E",$J$15:$J$56,0)+ROW($J$14),
  IF(COUNTIF($J$15:$J$56,"►Q")&gt;0,"Falta preencher a quantidade do serviço na linha "&amp;MATCH("►Q",$J$15:$J$56,0)+ROW($J$14),
  IF(COUNTIF($J$15:$J$56,"►S")&gt;0,"Verifique as quantidades preenchidas na linha "&amp;MATCH("►S",$J$15:$J$56,0)+ROW($J$14),
  IF(AND(COUNTIF($P$11:$AA$11,"▼")=0,COUNTIF($J$15:$J$56,"◄")&gt;0),"Falta Preencher o Memorial de Cálculo na linha "&amp;MATCH("◄",$J$15:$J$56,0)+ROW($J$14),"")))))</f>
        <v/>
      </c>
      <c r="J12" s="151" t="s">
        <v>764</v>
      </c>
      <c r="K12" s="152" t="s">
        <v>770</v>
      </c>
      <c r="L12" s="151" t="s">
        <v>764</v>
      </c>
      <c r="M12" s="570" cm="1">
        <f t="array" aca="1" ref="M12" ca="1">IF(ACOMPANHAMENTO="BM",0,MAX($M$15:$M$56))</f>
        <v>7</v>
      </c>
      <c r="N12" s="574" t="str">
        <f ca="1">IF(AND(ACOMPANHAMENTO="PLE",CÁLCULO.FrentesPreenchidas=0),"Preencher os nomes das Frentes de Obra ►","FRENTES DE OBRA:")</f>
        <v>FRENTES DE OBRA:</v>
      </c>
      <c r="O12" s="153"/>
      <c r="P12" s="151" t="s">
        <v>764</v>
      </c>
      <c r="Q12" s="452">
        <v>1</v>
      </c>
      <c r="R12" s="452"/>
      <c r="S12" s="153"/>
      <c r="T12" s="520"/>
      <c r="U12" s="153"/>
      <c r="V12" s="153"/>
      <c r="W12" s="153"/>
      <c r="X12" s="153"/>
      <c r="Y12" s="153"/>
      <c r="Z12" s="154"/>
      <c r="AA12" s="151" t="s">
        <v>764</v>
      </c>
      <c r="AB12" s="155">
        <f ca="1">IF(OFFSET($P$1,0,AB$13)=0,0,OFFSET($P$12,0,AB$13))</f>
        <v>1</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1</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1</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25.5" hidden="1" x14ac:dyDescent="0.2">
      <c r="A14" s="7">
        <f ca="1">IFERROR(IF(AUTOEVENTO="Manual",IF(K14&lt;&gt;"",MIN(VALUE(LEFT(K14,FIND(".",K14)-1)),COUNTA(EVENTOS.Lista)),0),IF(OR($B14&gt;AUTOEVENTO,$B14="S",$B14=0),SUBSTITUTE(OFFSET($A14,-1,0),IF($D14="Serviço",".",""),""),$L14&amp;".")),0)</f>
        <v>0</v>
      </c>
      <c r="B14" s="7">
        <f ca="1">OFFSET(ORÇAMENTO!C$15,$L14,0)</f>
        <v>1</v>
      </c>
      <c r="C14" s="7" t="str">
        <f ca="1">OFFSET(ORÇAMENTO!L$15,$L14,0)</f>
        <v>F</v>
      </c>
      <c r="D14" s="116" t="str">
        <f ca="1">OFFSET(ORÇAMENTO!N$15,$L14,0)</f>
        <v>Meta</v>
      </c>
      <c r="E14" s="117" t="str">
        <f ca="1">OFFSET(ORÇAMENTO!O$15,$L14,0)</f>
        <v>1.</v>
      </c>
      <c r="F14" s="163" t="str">
        <f ca="1">OFFSET(ORÇAMENTO!R$15,$L14,0)</f>
        <v>QUALIFICAÇÃO VIÁRIA COM EXECUÇÃO DE RECAPEAMENTO ASFÁLTICO EM RUAS DO MUNICÍPIO DE PILAR DO SUL-SP</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52" t="str">
        <f>Import.DescLote</f>
        <v>QUALIFICAÇÃO VIÁRIA COM EXECUÇÃO DE RECAPEAMENTO ASFÁLTICO EM RUAS DO MUNICÍPIO DE PILAR DO SUL</v>
      </c>
      <c r="F15" s="752"/>
      <c r="G15" s="752"/>
      <c r="H15" s="752"/>
      <c r="I15" s="469"/>
      <c r="J15" s="522"/>
      <c r="K15" s="633"/>
      <c r="L15" s="165">
        <v>0</v>
      </c>
      <c r="M15" s="568">
        <v>0</v>
      </c>
      <c r="N15" s="173" t="s">
        <v>776</v>
      </c>
      <c r="O15" s="174" t="e">
        <f ca="1">OFFSET($AA$15,0,O$13)</f>
        <v>#VALUE!</v>
      </c>
      <c r="Q15" s="175">
        <f t="shared" ref="Q15:Z15" ca="1" si="5">OFFSET($AA$15,0,Q$13)</f>
        <v>1081686.6200000001</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ROUND(SUM(OFFSET(AB$15,1,0):AB$56),2)</f>
        <v>1081686.6200000001</v>
      </c>
      <c r="AC15" s="177">
        <f ca="1">SUM(OFFSET(AC$15,1,0):AC$56)</f>
        <v>0</v>
      </c>
      <c r="AD15" s="177">
        <f ca="1">SUM(OFFSET(AD$15,1,0):AD$56)</f>
        <v>0</v>
      </c>
      <c r="AE15" s="177">
        <f ca="1">SUM(OFFSET(AE$15,1,0):AE$56)</f>
        <v>0</v>
      </c>
      <c r="AF15" s="177">
        <f ca="1">SUM(OFFSET(AF$15,1,0):AF$56)</f>
        <v>0</v>
      </c>
      <c r="AG15" s="177">
        <f ca="1">SUM(OFFSET(AG$15,1,0):AG$56)</f>
        <v>0</v>
      </c>
      <c r="AH15" s="177">
        <f ca="1">SUM(OFFSET(AH$15,1,0):AH$56)</f>
        <v>0</v>
      </c>
      <c r="AI15" s="177">
        <f ca="1">SUM(OFFSET(AI$15,1,0):AI$56)</f>
        <v>0</v>
      </c>
      <c r="AJ15" s="177">
        <f ca="1">SUM(OFFSET(AJ$15,1,0):AJ$56)</f>
        <v>0</v>
      </c>
      <c r="AK15" s="177">
        <f ca="1">SUM(OFFSET(AK$15,1,0):AK$56)</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25.5" x14ac:dyDescent="0.2">
      <c r="A16" s="7">
        <f t="shared" ref="A16:A55" ca="1" si="8">IFERROR(IF(AUTOEVENTO="Manual",IF(K16&lt;&gt;"",MIN(VALUE(LEFT(K16,FIND(".",K16)-1)),COUNTA(EVENTOS.Lista)),0),IF(OR($B16&gt;AUTOEVENTO,$B16="S",$B16=0),SUBSTITUTE(OFFSET($A16,-1,0),IF($D16="Serviço",".",""),""),$L16&amp;".")),0)</f>
        <v>0</v>
      </c>
      <c r="B16" s="7">
        <f ca="1">OFFSET(ORÇAMENTO!C$15,$L16,0)</f>
        <v>1</v>
      </c>
      <c r="C16" s="7" t="str">
        <f ca="1">OFFSET(ORÇAMENTO!L$15,$L16,0)</f>
        <v>F</v>
      </c>
      <c r="D16" s="116" t="str">
        <f ca="1">OFFSET(ORÇAMENTO!N$15,$L16,0)</f>
        <v>Meta</v>
      </c>
      <c r="E16" s="117" t="str">
        <f ca="1">OFFSET(ORÇAMENTO!O$15,$L16,0)</f>
        <v>1.</v>
      </c>
      <c r="F16" s="163" t="str">
        <f ca="1">OFFSET(ORÇAMENTO!R$15,$L16,0)</f>
        <v>QUALIFICAÇÃO VIÁRIA COM EXECUÇÃO DE RECAPEAMENTO ASFÁLTICO EM RUAS DO MUNICÍPIO DE PILAR DO SUL-SP</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55"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f t="shared" ca="1" si="8"/>
        <v>0</v>
      </c>
      <c r="B17" s="7">
        <f ca="1">OFFSET(ORÇAMENTO!C$15,$L17,0)</f>
        <v>2</v>
      </c>
      <c r="C17" s="7" t="str">
        <f ca="1">OFFSET(ORÇAMENTO!L$15,$L17,0)</f>
        <v>F</v>
      </c>
      <c r="D17" s="116" t="str">
        <f ca="1">OFFSET(ORÇAMENTO!N$15,$L17,0)</f>
        <v>Nível 2</v>
      </c>
      <c r="E17" s="117" t="str">
        <f ca="1">OFFSET(ORÇAMENTO!O$15,$L17,0)</f>
        <v>1.1.</v>
      </c>
      <c r="F17" s="163" t="str">
        <f ca="1">OFFSET(ORÇAMENTO!R$15,$L17,0)</f>
        <v>SERVIÇOS PRELIMINARES ETAPA 1</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f t="shared" ca="1" si="8"/>
        <v>1</v>
      </c>
      <c r="B18" s="7" t="str">
        <f ca="1">OFFSET(ORÇAMENTO!C$15,$L18,0)</f>
        <v>S</v>
      </c>
      <c r="C18" s="7" t="str">
        <f ca="1">OFFSET(ORÇAMENTO!L$15,$L18,0)</f>
        <v>F</v>
      </c>
      <c r="D18" s="116" t="str">
        <f ca="1">OFFSET(ORÇAMENTO!N$15,$L18,0)</f>
        <v>Serviço</v>
      </c>
      <c r="E18" s="117" t="str">
        <f ca="1">OFFSET(ORÇAMENTO!O$15,$L18,0)</f>
        <v>1.1.1.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2.88</v>
      </c>
      <c r="I18" s="468" t="s">
        <v>1051</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t="s">
        <v>1079</v>
      </c>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 ETAPA 1</v>
      </c>
      <c r="O18" s="168"/>
      <c r="Q18" s="168">
        <v>2.88</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1688.08</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f ca="1">IFERROR(IF(AUTOEVENTO="Manual",IF(K19&lt;&gt;"",MIN(VALUE(LEFT(K19,FIND(".",K19)-1)),COUNTA(EVENTOS.Lista)),0),IF(OR($B19&gt;AUTOEVENTO,$B19="S",$B19=0),SUBSTITUTE(OFFSET($A19,-1,0),IF($D19="Serviço",".",""),""),$L19&amp;".")),0)</f>
        <v>1</v>
      </c>
      <c r="B19" s="7" t="str">
        <f ca="1">OFFSET(ORÇAMENTO!C$15,$L19,0)</f>
        <v>S</v>
      </c>
      <c r="C19" s="7" t="str">
        <f ca="1">OFFSET(ORÇAMENTO!L$15,$L19,0)</f>
        <v>F</v>
      </c>
      <c r="D19" s="116" t="str">
        <f ca="1">OFFSET(ORÇAMENTO!N$15,$L19,0)</f>
        <v>Serviço</v>
      </c>
      <c r="E19" s="117" t="str">
        <f ca="1">OFFSET(ORÇAMENTO!O$15,$L19,0)</f>
        <v>1.1.2.</v>
      </c>
      <c r="F19" s="163" t="str">
        <f ca="1">OFFSET(ORÇAMENTO!R$15,$L19,0)</f>
        <v>PROJETO EXECUTIVO</v>
      </c>
      <c r="G19" s="164" t="str">
        <f ca="1">IF($D19&lt;&gt;"Serviço","",OFFSET(ORÇAMENTO!S$15,$L19,0))</f>
        <v>UN</v>
      </c>
      <c r="H19" s="122" cm="1">
        <f t="array" aca="1" ref="H19" ca="1">IF($D19&lt;&gt;"Serviço",0,IF(ACOMPANHAMENTO="BM",ROUND(OFFSET(ORÇAMENTO!AJ$15,$L19,0),15-13*ORÇAMENTO!$AF$7),IF(IFERROR(CÁLCULO.FrentesPreenchidas,0)=0,0,SUM(ROUND(OFFSET($P19,0,1,1,CÁLCULO.FrentesPreenchidas),15-13*ORÇAMENTO!$AF$7)))))</f>
        <v>2</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◄M</v>
      </c>
      <c r="K19" s="652" t="s">
        <v>1079</v>
      </c>
      <c r="L19" s="165">
        <f ca="1">OFFSET(L19,-1,0)+1</f>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PRELIMINARES ETAPA 1</v>
      </c>
      <c r="O19" s="168"/>
      <c r="Q19" s="168">
        <v>2</v>
      </c>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8111.28</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25.5" x14ac:dyDescent="0.2">
      <c r="A20" s="7">
        <f t="shared" ca="1" si="8"/>
        <v>1</v>
      </c>
      <c r="B20" s="7" t="str">
        <f ca="1">OFFSET(ORÇAMENTO!C$15,$L20,0)</f>
        <v>S</v>
      </c>
      <c r="C20" s="7" t="str">
        <f ca="1">OFFSET(ORÇAMENTO!L$15,$L20,0)</f>
        <v>F</v>
      </c>
      <c r="D20" s="116" t="str">
        <f ca="1">OFFSET(ORÇAMENTO!N$15,$L20,0)</f>
        <v>Serviço</v>
      </c>
      <c r="E20" s="117" t="str">
        <f ca="1">OFFSET(ORÇAMENTO!O$15,$L20,0)</f>
        <v>1.1.3.</v>
      </c>
      <c r="F20" s="163" t="str">
        <f ca="1">OFFSET(ORÇAMENTO!R$15,$L20,0)</f>
        <v>BANHEIRO QUÍMICO MODELO STANDART, COM MANUTENÇÃO CONFORME EXIGÊNCIAS DA CETESB</v>
      </c>
      <c r="G20" s="164" t="str">
        <f ca="1">IF($D20&lt;&gt;"Serviço","",OFFSET(ORÇAMENTO!S$15,$L20,0))</f>
        <v>UN</v>
      </c>
      <c r="H20" s="122" cm="1">
        <f t="array" aca="1" ref="H20" ca="1">IF($D20&lt;&gt;"Serviço",0,IF(ACOMPANHAMENTO="BM",ROUND(OFFSET(ORÇAMENTO!AJ$15,$L20,0),15-13*ORÇAMENTO!$AF$7),IF(IFERROR(CÁLCULO.FrentesPreenchidas,0)=0,0,SUM(ROUND(OFFSET($P20,0,1,1,CÁLCULO.FrentesPreenchidas),15-13*ORÇAMENTO!$AF$7)))))</f>
        <v>1</v>
      </c>
      <c r="I20" s="468" t="s">
        <v>1148</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t="s">
        <v>1079</v>
      </c>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PRELIMINARES ETAPA 1</v>
      </c>
      <c r="O20" s="168"/>
      <c r="Q20" s="168">
        <v>1</v>
      </c>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1553.3</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f ca="1">IFERROR(IF(AUTOEVENTO="Manual",IF(K21&lt;&gt;"",MIN(VALUE(LEFT(K21,FIND(".",K21)-1)),COUNTA(EVENTOS.Lista)),0),IF(OR($B21&gt;AUTOEVENTO,$B21="S",$B21=0),SUBSTITUTE(OFFSET($A21,-1,0),IF($D21="Serviço",".",""),""),$L21&amp;".")),0)</f>
        <v>0</v>
      </c>
      <c r="B21" s="7">
        <f ca="1">OFFSET(ORÇAMENTO!C$15,$L21,0)</f>
        <v>2</v>
      </c>
      <c r="C21" s="7" t="str">
        <f ca="1">OFFSET(ORÇAMENTO!L$15,$L21,0)</f>
        <v>F</v>
      </c>
      <c r="D21" s="116" t="str">
        <f ca="1">OFFSET(ORÇAMENTO!N$15,$L21,0)</f>
        <v>Nível 2</v>
      </c>
      <c r="E21" s="117" t="str">
        <f ca="1">OFFSET(ORÇAMENTO!O$15,$L21,0)</f>
        <v>1.2.</v>
      </c>
      <c r="F21" s="163" t="str">
        <f ca="1">OFFSET(ORÇAMENTO!R$15,$L21,0)</f>
        <v>SERVIÇOS PRELIMINARES ETAPA 2</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ca="1">OFFSET(L21,-1,0)+1</f>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25.5" x14ac:dyDescent="0.2">
      <c r="A22" s="7">
        <f ca="1">IFERROR(IF(AUTOEVENTO="Manual",IF(K22&lt;&gt;"",MIN(VALUE(LEFT(K22,FIND(".",K22)-1)),COUNTA(EVENTOS.Lista)),0),IF(OR($B22&gt;AUTOEVENTO,$B22="S",$B22=0),SUBSTITUTE(OFFSET($A22,-1,0),IF($D22="Serviço",".",""),""),$L22&amp;".")),0)</f>
        <v>2</v>
      </c>
      <c r="B22" s="7" t="str">
        <f ca="1">OFFSET(ORÇAMENTO!C$15,$L22,0)</f>
        <v>S</v>
      </c>
      <c r="C22" s="7" t="str">
        <f ca="1">OFFSET(ORÇAMENTO!L$15,$L22,0)</f>
        <v>F</v>
      </c>
      <c r="D22" s="116" t="str">
        <f ca="1">OFFSET(ORÇAMENTO!N$15,$L22,0)</f>
        <v>Serviço</v>
      </c>
      <c r="E22" s="117" t="str">
        <f ca="1">OFFSET(ORÇAMENTO!O$15,$L22,0)</f>
        <v>1.2.1.</v>
      </c>
      <c r="F22" s="163" t="str">
        <f ca="1">OFFSET(ORÇAMENTO!R$15,$L22,0)</f>
        <v xml:space="preserve">BANHEIRO QUÍMICO MODELO STANDART, COM MANUTENÇÃO CONFORME EXIGÊNCIAS DA CETESB </v>
      </c>
      <c r="G22" s="164" t="str">
        <f ca="1">IF($D22&lt;&gt;"Serviço","",OFFSET(ORÇAMENTO!S$15,$L22,0))</f>
        <v>UN</v>
      </c>
      <c r="H22" s="122" cm="1">
        <f t="array" aca="1" ref="H22" ca="1">IF($D22&lt;&gt;"Serviço",0,IF(ACOMPANHAMENTO="BM",ROUND(OFFSET(ORÇAMENTO!AJ$15,$L22,0),15-13*ORÇAMENTO!$AF$7),IF(IFERROR(CÁLCULO.FrentesPreenchidas,0)=0,0,SUM(ROUND(OFFSET($P22,0,1,1,CÁLCULO.FrentesPreenchidas),15-13*ORÇAMENTO!$AF$7)))))</f>
        <v>1</v>
      </c>
      <c r="I22" s="468" t="s">
        <v>1147</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t="s">
        <v>1156</v>
      </c>
      <c r="L22" s="165">
        <f ca="1">OFFSET(L22,-1,0)+1</f>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SERVIÇOS PRELIMINARES ETAPA 2</v>
      </c>
      <c r="O22" s="168"/>
      <c r="Q22" s="168">
        <v>1</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1553.3</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2</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12.75" x14ac:dyDescent="0.2">
      <c r="A23" s="7">
        <f t="shared" ca="1" si="8"/>
        <v>0</v>
      </c>
      <c r="B23" s="7">
        <f ca="1">OFFSET(ORÇAMENTO!C$15,$L23,0)</f>
        <v>2</v>
      </c>
      <c r="C23" s="7" t="str">
        <f ca="1">OFFSET(ORÇAMENTO!L$15,$L23,0)</f>
        <v>F</v>
      </c>
      <c r="D23" s="116" t="str">
        <f ca="1">OFFSET(ORÇAMENTO!N$15,$L23,0)</f>
        <v>Nível 2</v>
      </c>
      <c r="E23" s="117" t="str">
        <f ca="1">OFFSET(ORÇAMENTO!O$15,$L23,0)</f>
        <v>1.3.</v>
      </c>
      <c r="F23" s="163" t="str">
        <f ca="1">OFFSET(ORÇAMENTO!R$15,$L23,0)</f>
        <v>DRENAGEM</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0</v>
      </c>
      <c r="AN23" s="171">
        <f ca="1">IF(OR($D23&lt;&gt;"Serviço",AND(AUTOEVENTO="Manual",$M23=$A$15)),0,
         IF(OFFSET(CRONOPLE!$F$15,$M23-$A$15,AN$13)=0,10^12,OFFSET(CRONOPLE!$F$15,$M23-$A$15,AN$13)))</f>
        <v>0</v>
      </c>
      <c r="AO23" s="171">
        <f ca="1">IF(OR($D23&lt;&gt;"Serviço",AND(AUTOEVENTO="Manual",$M23=$A$15)),0,
         IF(OFFSET(CRONOPLE!$F$15,$M23-$A$15,AO$13)=0,10^12,OFFSET(CRONOPLE!$F$15,$M23-$A$15,AO$13)))</f>
        <v>0</v>
      </c>
      <c r="AP23" s="171">
        <f ca="1">IF(OR($D23&lt;&gt;"Serviço",AND(AUTOEVENTO="Manual",$M23=$A$15)),0,
         IF(OFFSET(CRONOPLE!$F$15,$M23-$A$15,AP$13)=0,10^12,OFFSET(CRONOPLE!$F$15,$M23-$A$15,AP$13)))</f>
        <v>0</v>
      </c>
      <c r="AQ23" s="171">
        <f ca="1">IF(OR($D23&lt;&gt;"Serviço",AND(AUTOEVENTO="Manual",$M23=$A$15)),0,
         IF(OFFSET(CRONOPLE!$F$15,$M23-$A$15,AQ$13)=0,10^12,OFFSET(CRONOPLE!$F$15,$M23-$A$15,AQ$13)))</f>
        <v>0</v>
      </c>
      <c r="AR23" s="171">
        <f ca="1">IF(OR($D23&lt;&gt;"Serviço",AND(AUTOEVENTO="Manual",$M23=$A$15)),0,
         IF(OFFSET(CRONOPLE!$F$15,$M23-$A$15,AR$13)=0,10^12,OFFSET(CRONOPLE!$F$15,$M23-$A$15,AR$13)))</f>
        <v>0</v>
      </c>
      <c r="AS23" s="171">
        <f ca="1">IF(OR($D23&lt;&gt;"Serviço",AND(AUTOEVENTO="Manual",$M23=$A$15)),0,
         IF(OFFSET(CRONOPLE!$F$15,$M23-$A$15,AS$13)=0,10^12,OFFSET(CRONOPLE!$F$15,$M23-$A$15,AS$13)))</f>
        <v>0</v>
      </c>
      <c r="AT23" s="171">
        <f ca="1">IF(OR($D23&lt;&gt;"Serviço",AND(AUTOEVENTO="Manual",$M23=$A$15)),0,
         IF(OFFSET(CRONOPLE!$F$15,$M23-$A$15,AT$13)=0,10^12,OFFSET(CRONOPLE!$F$15,$M23-$A$15,AT$13)))</f>
        <v>0</v>
      </c>
      <c r="AU23" s="171">
        <f ca="1">IF(OR($D23&lt;&gt;"Serviço",AND(AUTOEVENTO="Manual",$M23=$A$15)),0,
         IF(OFFSET(CRONOPLE!$F$15,$M23-$A$15,AU$13)=0,10^12,OFFSET(CRONOPLE!$F$15,$M23-$A$15,AU$13)))</f>
        <v>0</v>
      </c>
      <c r="AV23" s="171">
        <f ca="1">IF(OR($D23&lt;&gt;"Serviço",AND(AUTOEVENTO="Manual",$M23=$A$15)),0,
         IF(OFFSET(CRONOPLE!$F$15,$M23-$A$15,AV$13)=0,10^12,OFFSET(CRONOPLE!$F$15,$M23-$A$15,AV$13)))</f>
        <v>0</v>
      </c>
      <c r="AX23" s="172" cm="1">
        <f t="array" aca="1" ref="AX23" ca="1">IF(OR($D23&lt;&gt;"Serviço",AND(AUTOEVENTO="Manual",$M23=$A$15),$M23&gt;(ROW(PLE.lastrow)-ROW(PLE.firstrow))),0,
           IF(OFFSET(PLE!$G$15,$M23-$A$15,AX$13)="",10^12,OFFSET(PLE!$G$15,$M23-$A$15,AX$13)))</f>
        <v>0</v>
      </c>
      <c r="AY23" s="172" cm="1">
        <f t="array" aca="1" ref="AY23" ca="1">IF(OR($D23&lt;&gt;"Serviço",AND(AUTOEVENTO="Manual",$M23=$A$15),$M23&gt;(ROW(PLE.lastrow)-ROW(PLE.firstrow))),0,
           IF(OFFSET(PLE!$G$15,$M23-$A$15,AY$13)="",10^12,OFFSET(PLE!$G$15,$M23-$A$15,AY$13)))</f>
        <v>0</v>
      </c>
      <c r="AZ23" s="172" cm="1">
        <f t="array" aca="1" ref="AZ23" ca="1">IF(OR($D23&lt;&gt;"Serviço",AND(AUTOEVENTO="Manual",$M23=$A$15),$M23&gt;(ROW(PLE.lastrow)-ROW(PLE.firstrow))),0,
           IF(OFFSET(PLE!$G$15,$M23-$A$15,AZ$13)="",10^12,OFFSET(PLE!$G$15,$M23-$A$15,AZ$13)))</f>
        <v>0</v>
      </c>
      <c r="BA23" s="172" cm="1">
        <f t="array" aca="1" ref="BA23" ca="1">IF(OR($D23&lt;&gt;"Serviço",AND(AUTOEVENTO="Manual",$M23=$A$15),$M23&gt;(ROW(PLE.lastrow)-ROW(PLE.firstrow))),0,
           IF(OFFSET(PLE!$G$15,$M23-$A$15,BA$13)="",10^12,OFFSET(PLE!$G$15,$M23-$A$15,BA$13)))</f>
        <v>0</v>
      </c>
      <c r="BB23" s="172" cm="1">
        <f t="array" aca="1" ref="BB23" ca="1">IF(OR($D23&lt;&gt;"Serviço",AND(AUTOEVENTO="Manual",$M23=$A$15),$M23&gt;(ROW(PLE.lastrow)-ROW(PLE.firstrow))),0,
           IF(OFFSET(PLE!$G$15,$M23-$A$15,BB$13)="",10^12,OFFSET(PLE!$G$15,$M23-$A$15,BB$13)))</f>
        <v>0</v>
      </c>
      <c r="BC23" s="172" cm="1">
        <f t="array" aca="1" ref="BC23" ca="1">IF(OR($D23&lt;&gt;"Serviço",AND(AUTOEVENTO="Manual",$M23=$A$15),$M23&gt;(ROW(PLE.lastrow)-ROW(PLE.firstrow))),0,
           IF(OFFSET(PLE!$G$15,$M23-$A$15,BC$13)="",10^12,OFFSET(PLE!$G$15,$M23-$A$15,BC$13)))</f>
        <v>0</v>
      </c>
      <c r="BD23" s="172" cm="1">
        <f t="array" aca="1" ref="BD23" ca="1">IF(OR($D23&lt;&gt;"Serviço",AND(AUTOEVENTO="Manual",$M23=$A$15),$M23&gt;(ROW(PLE.lastrow)-ROW(PLE.firstrow))),0,
           IF(OFFSET(PLE!$G$15,$M23-$A$15,BD$13)="",10^12,OFFSET(PLE!$G$15,$M23-$A$15,BD$13)))</f>
        <v>0</v>
      </c>
      <c r="BE23" s="172" cm="1">
        <f t="array" aca="1" ref="BE23" ca="1">IF(OR($D23&lt;&gt;"Serviço",AND(AUTOEVENTO="Manual",$M23=$A$15),$M23&gt;(ROW(PLE.lastrow)-ROW(PLE.firstrow))),0,
           IF(OFFSET(PLE!$G$15,$M23-$A$15,BE$13)="",10^12,OFFSET(PLE!$G$15,$M23-$A$15,BE$13)))</f>
        <v>0</v>
      </c>
      <c r="BF23" s="172" cm="1">
        <f t="array" aca="1" ref="BF23" ca="1">IF(OR($D23&lt;&gt;"Serviço",AND(AUTOEVENTO="Manual",$M23=$A$15),$M23&gt;(ROW(PLE.lastrow)-ROW(PLE.firstrow))),0,
           IF(OFFSET(PLE!$G$15,$M23-$A$15,BF$13)="",10^12,OFFSET(PLE!$G$15,$M23-$A$15,BF$13)))</f>
        <v>0</v>
      </c>
      <c r="BG23" s="172" cm="1">
        <f t="array" aca="1" ref="BG23" ca="1">IF(OR($D23&lt;&gt;"Serviço",AND(AUTOEVENTO="Manual",$M23=$A$15),$M23&gt;(ROW(PLE.lastrow)-ROW(PLE.firstrow))),0,
           IF(OFFSET(PLE!$G$15,$M23-$A$15,BG$13)="",10^12,OFFSET(PLE!$G$15,$M23-$A$15,BG$13)))</f>
        <v>0</v>
      </c>
    </row>
    <row r="24" spans="1:59" ht="63.75" x14ac:dyDescent="0.2">
      <c r="A24" s="7">
        <f t="shared" ca="1" si="8"/>
        <v>3</v>
      </c>
      <c r="B24" s="7" t="str">
        <f ca="1">OFFSET(ORÇAMENTO!C$15,$L24,0)</f>
        <v>S</v>
      </c>
      <c r="C24" s="7" t="str">
        <f ca="1">OFFSET(ORÇAMENTO!L$15,$L24,0)</f>
        <v>F</v>
      </c>
      <c r="D24" s="116" t="str">
        <f ca="1">OFFSET(ORÇAMENTO!N$15,$L24,0)</f>
        <v>Serviço</v>
      </c>
      <c r="E24" s="117" t="str">
        <f ca="1">OFFSET(ORÇAMENTO!O$15,$L24,0)</f>
        <v>1.3.1.</v>
      </c>
      <c r="F24" s="163" t="str">
        <f ca="1">OFFSET(ORÇAMENTO!R$15,$L24,0)</f>
        <v>ESCAVAÇÃO VERTICAL PARA INFRAESTRUTURA, COM CARGA, DESCARGA E TRANSPORTE DE SOLO DE 1ª CATEGORIA, COM ESCAVADEIRA HIDRÁULICA (CAÇAMBA: 1,2 M³ / 155 HP), FROTA DE 3 CAMINHÕES BASCULANTES DE 14 M³, DMT ATÉ 1 KM E VELOCIDADE MÉDIA14 KM/H. AF_05/2020</v>
      </c>
      <c r="G24" s="164" t="str">
        <f ca="1">IF($D24&lt;&gt;"Serviço","",OFFSET(ORÇAMENTO!S$15,$L24,0))</f>
        <v>M3</v>
      </c>
      <c r="H24" s="122" cm="1">
        <f t="array" aca="1" ref="H24" ca="1">IF($D24&lt;&gt;"Serviço",0,IF(ACOMPANHAMENTO="BM",ROUND(OFFSET(ORÇAMENTO!AJ$15,$L24,0),15-13*ORÇAMENTO!$AF$7),IF(IFERROR(CÁLCULO.FrentesPreenchidas,0)=0,0,SUM(ROUND(OFFSET($P24,0,1,1,CÁLCULO.FrentesPreenchidas),15-13*ORÇAMENTO!$AF$7)))))</f>
        <v>212.27</v>
      </c>
      <c r="I24" s="468" t="s">
        <v>1070</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t="s">
        <v>1149</v>
      </c>
      <c r="L24" s="165">
        <f t="shared" ca="1" si="9"/>
        <v>9</v>
      </c>
      <c r="M24" s="166">
        <f ca="1">IF($D24&lt;&gt;"Serviço","",
          IF(AUTOEVENTO="manual",$A24,
                IF(ISERROR(MATCH($A24,$A$15:OFFSET($A24,-1,0),0)),MAX($M$15:OFFSET(M24,-1,0))+1,
                      INDEX($M$15:OFFSET(M24,-1,0),MATCH($A24,$A$15:OFFSET($A24,-1,0),0)))))</f>
        <v>3</v>
      </c>
      <c r="N24" s="167" t="str">
        <f ca="1">IF($D24&lt;&gt;"Serviço","",
         IF(AUTOEVENTO="Manual",
                IF($A24=0,"&lt;-- defina o número do agrupador",
                       OFFSET(EVENTOS!$D$15,$A24-$A$15,0)),
                OFFSET($F$15,$A24,0)))</f>
        <v>DRENAGEM</v>
      </c>
      <c r="O24" s="168"/>
      <c r="Q24" s="168">
        <v>212.27</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2661.87</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38.25" x14ac:dyDescent="0.2">
      <c r="A25" s="7">
        <f t="shared" ca="1" si="8"/>
        <v>3</v>
      </c>
      <c r="B25" s="7" t="str">
        <f ca="1">OFFSET(ORÇAMENTO!C$15,$L25,0)</f>
        <v>S</v>
      </c>
      <c r="C25" s="7" t="str">
        <f ca="1">OFFSET(ORÇAMENTO!L$15,$L25,0)</f>
        <v>F</v>
      </c>
      <c r="D25" s="116" t="str">
        <f ca="1">OFFSET(ORÇAMENTO!N$15,$L25,0)</f>
        <v>Serviço</v>
      </c>
      <c r="E25" s="117" t="str">
        <f ca="1">OFFSET(ORÇAMENTO!O$15,$L25,0)</f>
        <v>1.3.2.</v>
      </c>
      <c r="F25" s="163" t="str">
        <f ca="1">OFFSET(ORÇAMENTO!R$15,$L25,0)</f>
        <v>CAIXA PARA BOCA DE LOBO DUPLA RETANGULAR, EM ALVENARIA COM BLOCOS DE CONCRETO, DIMENSÕES INTERNAS: 0,6X2,2X1,2 M. AF_12/2020</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6</v>
      </c>
      <c r="I25" s="468" t="s">
        <v>1052</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t="s">
        <v>1149</v>
      </c>
      <c r="L25" s="165">
        <f t="shared" ca="1" si="9"/>
        <v>10</v>
      </c>
      <c r="M25" s="166">
        <f ca="1">IF($D25&lt;&gt;"Serviço","",
          IF(AUTOEVENTO="manual",$A25,
                IF(ISERROR(MATCH($A25,$A$15:OFFSET($A25,-1,0),0)),MAX($M$15:OFFSET(M25,-1,0))+1,
                      INDEX($M$15:OFFSET(M25,-1,0),MATCH($A25,$A$15:OFFSET($A25,-1,0),0)))))</f>
        <v>3</v>
      </c>
      <c r="N25" s="167" t="str">
        <f ca="1">IF($D25&lt;&gt;"Serviço","",
         IF(AUTOEVENTO="Manual",
                IF($A25=0,"&lt;-- defina o número do agrupador",
                       OFFSET(EVENTOS!$D$15,$A25-$A$15,0)),
                OFFSET($F$15,$A25,0)))</f>
        <v>DRENAGEM</v>
      </c>
      <c r="O25" s="168"/>
      <c r="Q25" s="168">
        <v>6</v>
      </c>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21105.96</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38.25" x14ac:dyDescent="0.2">
      <c r="A26" s="7">
        <f t="shared" ca="1" si="8"/>
        <v>3</v>
      </c>
      <c r="B26" s="7" t="str">
        <f ca="1">OFFSET(ORÇAMENTO!C$15,$L26,0)</f>
        <v>S</v>
      </c>
      <c r="C26" s="7" t="str">
        <f ca="1">OFFSET(ORÇAMENTO!L$15,$L26,0)</f>
        <v>F</v>
      </c>
      <c r="D26" s="116" t="str">
        <f ca="1">OFFSET(ORÇAMENTO!N$15,$L26,0)</f>
        <v>Serviço</v>
      </c>
      <c r="E26" s="117" t="str">
        <f ca="1">OFFSET(ORÇAMENTO!O$15,$L26,0)</f>
        <v>1.3.3.</v>
      </c>
      <c r="F26" s="163" t="str">
        <f ca="1">OFFSET(ORÇAMENTO!R$15,$L26,0)</f>
        <v>BASE PARA POÇO DE VISITA RETANGULAR PARA DRENAGEM, EM ALVENARIA COM BLOCOS DE CONCRETO, DIMENSÕES INTERNAS = 1X1,5 M, PROFUNDIDADE = 1,40 M, EXCLUINDO TAMPÃO. AF_12/2020</v>
      </c>
      <c r="G26" s="164" t="str">
        <f ca="1">IF($D26&lt;&gt;"Serviço","",OFFSET(ORÇAMENTO!S$15,$L26,0))</f>
        <v>UN</v>
      </c>
      <c r="H26" s="122" cm="1">
        <f t="array" aca="1" ref="H26" ca="1">IF($D26&lt;&gt;"Serviço",0,IF(ACOMPANHAMENTO="BM",ROUND(OFFSET(ORÇAMENTO!AJ$15,$L26,0),15-13*ORÇAMENTO!$AF$7),IF(IFERROR(CÁLCULO.FrentesPreenchidas,0)=0,0,SUM(ROUND(OFFSET($P26,0,1,1,CÁLCULO.FrentesPreenchidas),15-13*ORÇAMENTO!$AF$7)))))</f>
        <v>2</v>
      </c>
      <c r="I26" s="468" t="s">
        <v>1082</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t="s">
        <v>1149</v>
      </c>
      <c r="L26" s="165">
        <f t="shared" ca="1" si="9"/>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DRENAGEM</v>
      </c>
      <c r="O26" s="168"/>
      <c r="Q26" s="168">
        <v>2</v>
      </c>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8542.26</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51" x14ac:dyDescent="0.2">
      <c r="A27" s="7">
        <f t="shared" ca="1" si="8"/>
        <v>3</v>
      </c>
      <c r="B27" s="7" t="str">
        <f ca="1">OFFSET(ORÇAMENTO!C$15,$L27,0)</f>
        <v>S</v>
      </c>
      <c r="C27" s="7" t="str">
        <f ca="1">OFFSET(ORÇAMENTO!L$15,$L27,0)</f>
        <v>F</v>
      </c>
      <c r="D27" s="116" t="str">
        <f ca="1">OFFSET(ORÇAMENTO!N$15,$L27,0)</f>
        <v>Serviço</v>
      </c>
      <c r="E27" s="117" t="str">
        <f ca="1">OFFSET(ORÇAMENTO!O$15,$L27,0)</f>
        <v>1.3.4.</v>
      </c>
      <c r="F27" s="163" t="str">
        <f ca="1">OFFSET(ORÇAMENTO!R$15,$L27,0)</f>
        <v>TUBO DE CONCRETO PARA REDES COLETORAS DE ÁGUAS PLUVIAIS, DIÂMETRO DE 400 MM, JUNTA RÍGIDA, INSTALADO EM LOCAL COM ALTO NÍVEL DE INTERFERÊNCIAS - FORNECIMENTO E ASSENTAMENTO. AF_03/2024</v>
      </c>
      <c r="G27" s="164" t="str">
        <f ca="1">IF($D27&lt;&gt;"Serviço","",OFFSET(ORÇAMENTO!S$15,$L27,0))</f>
        <v>M</v>
      </c>
      <c r="H27" s="122" cm="1">
        <f t="array" aca="1" ref="H27" ca="1">IF($D27&lt;&gt;"Serviço",0,IF(ACOMPANHAMENTO="BM",ROUND(OFFSET(ORÇAMENTO!AJ$15,$L27,0),15-13*ORÇAMENTO!$AF$7),IF(IFERROR(CÁLCULO.FrentesPreenchidas,0)=0,0,SUM(ROUND(OFFSET($P27,0,1,1,CÁLCULO.FrentesPreenchidas),15-13*ORÇAMENTO!$AF$7)))))</f>
        <v>120</v>
      </c>
      <c r="I27" s="468" t="s">
        <v>1053</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t="s">
        <v>1149</v>
      </c>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DRENAGEM</v>
      </c>
      <c r="O27" s="168"/>
      <c r="Q27" s="168">
        <v>120</v>
      </c>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28012.799999999999</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51" x14ac:dyDescent="0.2">
      <c r="A28" s="7">
        <f ca="1">IFERROR(IF(AUTOEVENTO="Manual",IF(K28&lt;&gt;"",MIN(VALUE(LEFT(K28,FIND(".",K28)-1)),COUNTA(EVENTOS.Lista)),0),IF(OR($B28&gt;AUTOEVENTO,$B28="S",$B28=0),SUBSTITUTE(OFFSET($A28,-1,0),IF($D28="Serviço",".",""),""),$L28&amp;".")),0)</f>
        <v>3</v>
      </c>
      <c r="B28" s="7" t="str">
        <f ca="1">OFFSET(ORÇAMENTO!C$15,$L28,0)</f>
        <v>S</v>
      </c>
      <c r="C28" s="7" t="str">
        <f ca="1">OFFSET(ORÇAMENTO!L$15,$L28,0)</f>
        <v>F</v>
      </c>
      <c r="D28" s="116" t="str">
        <f ca="1">OFFSET(ORÇAMENTO!N$15,$L28,0)</f>
        <v>Serviço</v>
      </c>
      <c r="E28" s="117" t="str">
        <f ca="1">OFFSET(ORÇAMENTO!O$15,$L28,0)</f>
        <v>1.3.5.</v>
      </c>
      <c r="F28" s="163" t="str">
        <f ca="1">OFFSET(ORÇAMENTO!R$15,$L28,0)</f>
        <v>TUBO DE CONCRETO PARA REDES COLETORAS DE ÁGUAS PLUVIAIS, DIÂMETRO DE 600 MM, JUNTA RÍGIDA, INSTALADO EM LOCAL COM ALTO NÍVEL DE INTERFERÊNCIAS - FORNECIMENTO E ASSENTAMENTO. AF_03/2024</v>
      </c>
      <c r="G28" s="164" t="str">
        <f ca="1">IF($D28&lt;&gt;"Serviço","",OFFSET(ORÇAMENTO!S$15,$L28,0))</f>
        <v>M</v>
      </c>
      <c r="H28" s="122" cm="1">
        <f t="array" aca="1" ref="H28" ca="1">IF($D28&lt;&gt;"Serviço",0,IF(ACOMPANHAMENTO="BM",ROUND(OFFSET(ORÇAMENTO!AJ$15,$L28,0),15-13*ORÇAMENTO!$AF$7),IF(IFERROR(CÁLCULO.FrentesPreenchidas,0)=0,0,SUM(ROUND(OFFSET($P28,0,1,1,CÁLCULO.FrentesPreenchidas),15-13*ORÇAMENTO!$AF$7)))))</f>
        <v>47.41</v>
      </c>
      <c r="I28" s="468" t="s">
        <v>1054</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t="s">
        <v>1150</v>
      </c>
      <c r="L28" s="165">
        <f ca="1">OFFSET(L28,-1,0)+1</f>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DRENAGEM</v>
      </c>
      <c r="O28" s="168"/>
      <c r="Q28" s="168">
        <v>47.41</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20476.38</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127.5" x14ac:dyDescent="0.2">
      <c r="A29" s="7">
        <f ca="1">IFERROR(IF(AUTOEVENTO="Manual",IF(K29&lt;&gt;"",MIN(VALUE(LEFT(K29,FIND(".",K29)-1)),COUNTA(EVENTOS.Lista)),0),IF(OR($B29&gt;AUTOEVENTO,$B29="S",$B29=0),SUBSTITUTE(OFFSET($A29,-1,0),IF($D29="Serviço",".",""),""),$L29&amp;".")),0)</f>
        <v>3</v>
      </c>
      <c r="B29" s="7" t="str">
        <f ca="1">OFFSET(ORÇAMENTO!C$15,$L29,0)</f>
        <v>S</v>
      </c>
      <c r="C29" s="7" t="str">
        <f ca="1">OFFSET(ORÇAMENTO!L$15,$L29,0)</f>
        <v>F</v>
      </c>
      <c r="D29" s="116" t="str">
        <f ca="1">OFFSET(ORÇAMENTO!N$15,$L29,0)</f>
        <v>Serviço</v>
      </c>
      <c r="E29" s="117" t="str">
        <f ca="1">OFFSET(ORÇAMENTO!O$15,$L29,0)</f>
        <v>1.3.6.</v>
      </c>
      <c r="F29" s="163" t="str">
        <f ca="1">OFFSET(ORÇAMENTO!R$15,$L29,0)</f>
        <v>REATERRO MANUAL DE VALAS, COM COMPACTADOR DE SOLOS DE PERCUSSÃO. AF_08/2023</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166.65</v>
      </c>
      <c r="I29" s="468" t="s">
        <v>1074</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t="s">
        <v>1150</v>
      </c>
      <c r="L29" s="165">
        <f t="shared" ref="L29:L32" ca="1" si="10">OFFSET(L29,-1,0)+1</f>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DRENAGEM</v>
      </c>
      <c r="O29" s="168"/>
      <c r="Q29" s="168">
        <v>166.65</v>
      </c>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7034.3</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02" x14ac:dyDescent="0.2">
      <c r="A30" s="7">
        <f ca="1">IFERROR(IF(AUTOEVENTO="Manual",IF(K30&lt;&gt;"",MIN(VALUE(LEFT(K30,FIND(".",K30)-1)),COUNTA(EVENTOS.Lista)),0),IF(OR($B30&gt;AUTOEVENTO,$B30="S",$B30=0),SUBSTITUTE(OFFSET($A30,-1,0),IF($D30="Serviço",".",""),""),$L30&amp;".")),0)</f>
        <v>3</v>
      </c>
      <c r="B30" s="7" t="str">
        <f ca="1">OFFSET(ORÇAMENTO!C$15,$L30,0)</f>
        <v>S</v>
      </c>
      <c r="C30" s="7" t="str">
        <f ca="1">OFFSET(ORÇAMENTO!L$15,$L30,0)</f>
        <v>F</v>
      </c>
      <c r="D30" s="116" t="str">
        <f ca="1">OFFSET(ORÇAMENTO!N$15,$L30,0)</f>
        <v>Serviço</v>
      </c>
      <c r="E30" s="117" t="str">
        <f ca="1">OFFSET(ORÇAMENTO!O$15,$L30,0)</f>
        <v>1.3.7.</v>
      </c>
      <c r="F30" s="163" t="str">
        <f ca="1">OFFSET(ORÇAMENTO!R$15,$L30,0)</f>
        <v>LASTRO COM MATERIAL GRANULAR, APLICADO EM PISOS OU LAJES SOBRE SOLO, ESPESSURA DE *5 CM*. AF_01/2024</v>
      </c>
      <c r="G30" s="164" t="str">
        <f ca="1">IF($D30&lt;&gt;"Serviço","",OFFSET(ORÇAMENTO!S$15,$L30,0))</f>
        <v>M3</v>
      </c>
      <c r="H30" s="122" cm="1">
        <f t="array" aca="1" ref="H30" ca="1">IF($D30&lt;&gt;"Serviço",0,IF(ACOMPANHAMENTO="BM",ROUND(OFFSET(ORÇAMENTO!AJ$15,$L30,0),15-13*ORÇAMENTO!$AF$7),IF(IFERROR(CÁLCULO.FrentesPreenchidas,0)=0,0,SUM(ROUND(OFFSET($P30,0,1,1,CÁLCULO.FrentesPreenchidas),15-13*ORÇAMENTO!$AF$7)))))</f>
        <v>7.84</v>
      </c>
      <c r="I30" s="468" t="s">
        <v>1073</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t="s">
        <v>1150</v>
      </c>
      <c r="L30" s="165">
        <f t="shared" ca="1" si="10"/>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DRENAGEM</v>
      </c>
      <c r="O30" s="168"/>
      <c r="Q30" s="168">
        <v>7.84</v>
      </c>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1916.96</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25.5" x14ac:dyDescent="0.2">
      <c r="A31" s="7">
        <f ca="1">IFERROR(IF(AUTOEVENTO="Manual",IF(K31&lt;&gt;"",MIN(VALUE(LEFT(K31,FIND(".",K31)-1)),COUNTA(EVENTOS.Lista)),0),IF(OR($B31&gt;AUTOEVENTO,$B31="S",$B31=0),SUBSTITUTE(OFFSET($A31,-1,0),IF($D31="Serviço",".",""),""),$L31&amp;".")),0)</f>
        <v>3</v>
      </c>
      <c r="B31" s="7" t="str">
        <f ca="1">OFFSET(ORÇAMENTO!C$15,$L31,0)</f>
        <v>S</v>
      </c>
      <c r="C31" s="7" t="str">
        <f ca="1">OFFSET(ORÇAMENTO!L$15,$L31,0)</f>
        <v>F</v>
      </c>
      <c r="D31" s="116" t="str">
        <f ca="1">OFFSET(ORÇAMENTO!N$15,$L31,0)</f>
        <v>Serviço</v>
      </c>
      <c r="E31" s="117" t="str">
        <f ca="1">OFFSET(ORÇAMENTO!O$15,$L31,0)</f>
        <v>1.3.8.</v>
      </c>
      <c r="F31" s="163" t="str">
        <f ca="1">OFFSET(ORÇAMENTO!R$15,$L31,0)</f>
        <v>EXECUÇÃO DE SARJETÃO DE CONCRETO USINADO, MOLDADA IN LOCO EM TRECHO RETO, 100 CM BASE X 20 CM ALTURA. AF_01/2024</v>
      </c>
      <c r="G31" s="164" t="str">
        <f ca="1">IF($D31&lt;&gt;"Serviço","",OFFSET(ORÇAMENTO!S$15,$L31,0))</f>
        <v>M</v>
      </c>
      <c r="H31" s="122" cm="1">
        <f t="array" aca="1" ref="H31" ca="1">IF($D31&lt;&gt;"Serviço",0,IF(ACOMPANHAMENTO="BM",ROUND(OFFSET(ORÇAMENTO!AJ$15,$L31,0),15-13*ORÇAMENTO!$AF$7),IF(IFERROR(CÁLCULO.FrentesPreenchidas,0)=0,0,SUM(ROUND(OFFSET($P31,0,1,1,CÁLCULO.FrentesPreenchidas),15-13*ORÇAMENTO!$AF$7)))))</f>
        <v>80.36</v>
      </c>
      <c r="I31" s="468" t="s">
        <v>1055</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t="s">
        <v>1150</v>
      </c>
      <c r="L31" s="165">
        <f t="shared" ca="1" si="10"/>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DRENAGEM</v>
      </c>
      <c r="O31" s="168"/>
      <c r="Q31" s="168">
        <v>80.36</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16755.060000000001</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5.5" x14ac:dyDescent="0.2">
      <c r="A32" s="7">
        <f ca="1">IFERROR(IF(AUTOEVENTO="Manual",IF(K32&lt;&gt;"",MIN(VALUE(LEFT(K32,FIND(".",K32)-1)),COUNTA(EVENTOS.Lista)),0),IF(OR($B32&gt;AUTOEVENTO,$B32="S",$B32=0),SUBSTITUTE(OFFSET($A32,-1,0),IF($D32="Serviço",".",""),""),$L32&amp;".")),0)</f>
        <v>3</v>
      </c>
      <c r="B32" s="7" t="str">
        <f ca="1">OFFSET(ORÇAMENTO!C$15,$L32,0)</f>
        <v>S</v>
      </c>
      <c r="C32" s="7" t="str">
        <f ca="1">OFFSET(ORÇAMENTO!L$15,$L32,0)</f>
        <v>F</v>
      </c>
      <c r="D32" s="116" t="str">
        <f ca="1">OFFSET(ORÇAMENTO!N$15,$L32,0)</f>
        <v>Serviço</v>
      </c>
      <c r="E32" s="117" t="str">
        <f ca="1">OFFSET(ORÇAMENTO!O$15,$L32,0)</f>
        <v>1.3.9.</v>
      </c>
      <c r="F32" s="163" t="str">
        <f ca="1">OFFSET(ORÇAMENTO!R$15,$L32,0)</f>
        <v>ARMAÇÃO PARA EXECUÇÃO DE RADIER, PISO DE CONCRETO OU LAJE SOBRE SOLO, COM USO DE TELA Q-92. AF_09/2021</v>
      </c>
      <c r="G32" s="164" t="str">
        <f ca="1">IF($D32&lt;&gt;"Serviço","",OFFSET(ORÇAMENTO!S$15,$L32,0))</f>
        <v>KG</v>
      </c>
      <c r="H32" s="122" cm="1">
        <f t="array" aca="1" ref="H32" ca="1">IF($D32&lt;&gt;"Serviço",0,IF(ACOMPANHAMENTO="BM",ROUND(OFFSET(ORÇAMENTO!AJ$15,$L32,0),15-13*ORÇAMENTO!$AF$7),IF(IFERROR(CÁLCULO.FrentesPreenchidas,0)=0,0,SUM(ROUND(OFFSET($P32,0,1,1,CÁLCULO.FrentesPreenchidas),15-13*ORÇAMENTO!$AF$7)))))</f>
        <v>118.93</v>
      </c>
      <c r="I32" s="468" t="s">
        <v>1056</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t="s">
        <v>1150</v>
      </c>
      <c r="L32" s="165">
        <f t="shared" ca="1" si="10"/>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DRENAGEM</v>
      </c>
      <c r="O32" s="168"/>
      <c r="Q32" s="168">
        <v>118.93</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2189.5</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25.5" x14ac:dyDescent="0.2">
      <c r="A33" s="7">
        <f t="shared" ca="1" si="8"/>
        <v>0</v>
      </c>
      <c r="B33" s="7">
        <f ca="1">OFFSET(ORÇAMENTO!C$15,$L33,0)</f>
        <v>2</v>
      </c>
      <c r="C33" s="7" t="str">
        <f ca="1">OFFSET(ORÇAMENTO!L$15,$L33,0)</f>
        <v>F</v>
      </c>
      <c r="D33" s="116" t="str">
        <f ca="1">OFFSET(ORÇAMENTO!N$15,$L33,0)</f>
        <v>Nível 2</v>
      </c>
      <c r="E33" s="117" t="str">
        <f ca="1">OFFSET(ORÇAMENTO!O$15,$L33,0)</f>
        <v>1.4.</v>
      </c>
      <c r="F33" s="163" t="str">
        <f ca="1">OFFSET(ORÇAMENTO!R$15,$L33,0)</f>
        <v>RECAPEAMENTO/RECUPERAÇÃO/PAVIMENTAÇÃO ASFÁLTICA - TRECHO DA RUA MARCOLINO GOMES DE OLIVEIRA</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ht="51" x14ac:dyDescent="0.2">
      <c r="A34" s="7">
        <f t="shared" ca="1" si="8"/>
        <v>4</v>
      </c>
      <c r="B34" s="7" t="str">
        <f ca="1">OFFSET(ORÇAMENTO!C$15,$L34,0)</f>
        <v>S</v>
      </c>
      <c r="C34" s="7" t="str">
        <f ca="1">OFFSET(ORÇAMENTO!L$15,$L34,0)</f>
        <v>F</v>
      </c>
      <c r="D34" s="116" t="str">
        <f ca="1">OFFSET(ORÇAMENTO!N$15,$L34,0)</f>
        <v>Serviço</v>
      </c>
      <c r="E34" s="117" t="str">
        <f ca="1">OFFSET(ORÇAMENTO!O$15,$L34,0)</f>
        <v>1.4.1.</v>
      </c>
      <c r="F34" s="163" t="str">
        <f ca="1">OFFSET(ORÇAMENTO!R$15,$L34,0)</f>
        <v>DEMOLIÇÃO PARCIAL DE PAVIMENTO ASFÁLTICO, DE FORMA MECANIZADA, SEM REAPROVEITAMENTO. AF_09/2023</v>
      </c>
      <c r="G34" s="164" t="str">
        <f ca="1">IF($D34&lt;&gt;"Serviço","",OFFSET(ORÇAMENTO!S$15,$L34,0))</f>
        <v>M2</v>
      </c>
      <c r="H34" s="122" cm="1">
        <f t="array" aca="1" ref="H34" ca="1">IF($D34&lt;&gt;"Serviço",0,IF(ACOMPANHAMENTO="BM",ROUND(OFFSET(ORÇAMENTO!AJ$15,$L34,0),15-13*ORÇAMENTO!$AF$7),IF(IFERROR(CÁLCULO.FrentesPreenchidas,0)=0,0,SUM(ROUND(OFFSET($P34,0,1,1,CÁLCULO.FrentesPreenchidas),15-13*ORÇAMENTO!$AF$7)))))</f>
        <v>1857.89</v>
      </c>
      <c r="I34" s="468" t="s">
        <v>1057</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t="s">
        <v>1151</v>
      </c>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RECAPEAMENTO/RECUPERAÇÃO/PAVIMENTAÇÃO ASFÁLTICA - TRECHO DA RUA MARCOLINO GOMES DE OLIVEIRA</v>
      </c>
      <c r="O34" s="168"/>
      <c r="Q34" s="168">
        <v>1857.89</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58950.85</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2</v>
      </c>
      <c r="AN34" s="171">
        <f ca="1">IF(OR($D34&lt;&gt;"Serviço",AND(AUTOEVENTO="Manual",$M34=$A$15)),0,
         IF(OFFSET(CRONOPLE!$F$15,$M34-$A$15,AN$13)=0,10^12,OFFSET(CRONOPLE!$F$15,$M34-$A$15,AN$13)))</f>
        <v>2</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63.75" x14ac:dyDescent="0.2">
      <c r="A35" s="7">
        <f t="shared" ca="1" si="8"/>
        <v>4</v>
      </c>
      <c r="B35" s="7" t="str">
        <f ca="1">OFFSET(ORÇAMENTO!C$15,$L35,0)</f>
        <v>S</v>
      </c>
      <c r="C35" s="7" t="str">
        <f ca="1">OFFSET(ORÇAMENTO!L$15,$L35,0)</f>
        <v>F</v>
      </c>
      <c r="D35" s="116" t="str">
        <f ca="1">OFFSET(ORÇAMENTO!N$15,$L35,0)</f>
        <v>Serviço</v>
      </c>
      <c r="E35" s="117" t="str">
        <f ca="1">OFFSET(ORÇAMENTO!O$15,$L35,0)</f>
        <v>1.4.2.</v>
      </c>
      <c r="F35" s="163" t="str">
        <f ca="1">OFFSET(ORÇAMENTO!R$15,$L35,0)</f>
        <v>ESCAVAÇÃO VERTICAL PARA INFRAESTRUTURA, COM CARGA, DESCARGA E TRANSPORTE DE SOLO DE 1ª CATEGORIA, COM ESCAVADEIRA HIDRÁULICA (CAÇAMBA: 1,2 M³ / 155 HP), FROTA DE 3 CAMINHÕES BASCULANTES DE 14 M³, DMT ATÉ 1 KM E VELOCIDADE MÉDIA14 KM/H. AF_05/2020</v>
      </c>
      <c r="G35" s="164" t="str">
        <f ca="1">IF($D35&lt;&gt;"Serviço","",OFFSET(ORÇAMENTO!S$15,$L35,0))</f>
        <v>M3</v>
      </c>
      <c r="H35" s="122" cm="1">
        <f t="array" aca="1" ref="H35" ca="1">IF($D35&lt;&gt;"Serviço",0,IF(ACOMPANHAMENTO="BM",ROUND(OFFSET(ORÇAMENTO!AJ$15,$L35,0),15-13*ORÇAMENTO!$AF$7),IF(IFERROR(CÁLCULO.FrentesPreenchidas,0)=0,0,SUM(ROUND(OFFSET($P35,0,1,1,CÁLCULO.FrentesPreenchidas),15-13*ORÇAMENTO!$AF$7)))))</f>
        <v>306.55</v>
      </c>
      <c r="I35" s="468" t="s">
        <v>1058</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t="s">
        <v>1151</v>
      </c>
      <c r="L35" s="165">
        <f t="shared" ca="1" si="9"/>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RECAPEAMENTO/RECUPERAÇÃO/PAVIMENTAÇÃO ASFÁLTICA - TRECHO DA RUA MARCOLINO GOMES DE OLIVEIRA</v>
      </c>
      <c r="O35" s="168"/>
      <c r="Q35" s="168">
        <v>306.55</v>
      </c>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3844.14</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2</v>
      </c>
      <c r="AN35" s="171">
        <f ca="1">IF(OR($D35&lt;&gt;"Serviço",AND(AUTOEVENTO="Manual",$M35=$A$15)),0,
         IF(OFFSET(CRONOPLE!$F$15,$M35-$A$15,AN$13)=0,10^12,OFFSET(CRONOPLE!$F$15,$M35-$A$15,AN$13)))</f>
        <v>2</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51" x14ac:dyDescent="0.2">
      <c r="A36" s="7">
        <f ca="1">IFERROR(IF(AUTOEVENTO="Manual",IF(K36&lt;&gt;"",MIN(VALUE(LEFT(K36,FIND(".",K36)-1)),COUNTA(EVENTOS.Lista)),0),IF(OR($B36&gt;AUTOEVENTO,$B36="S",$B36=0),SUBSTITUTE(OFFSET($A36,-1,0),IF($D36="Serviço",".",""),""),$L36&amp;".")),0)</f>
        <v>4</v>
      </c>
      <c r="B36" s="7" t="str">
        <f ca="1">OFFSET(ORÇAMENTO!C$15,$L36,0)</f>
        <v>S</v>
      </c>
      <c r="C36" s="7" t="str">
        <f ca="1">OFFSET(ORÇAMENTO!L$15,$L36,0)</f>
        <v>F</v>
      </c>
      <c r="D36" s="116" t="str">
        <f ca="1">OFFSET(ORÇAMENTO!N$15,$L36,0)</f>
        <v>Serviço</v>
      </c>
      <c r="E36" s="117" t="str">
        <f ca="1">OFFSET(ORÇAMENTO!O$15,$L36,0)</f>
        <v>1.4.3.</v>
      </c>
      <c r="F36" s="163" t="str">
        <f ca="1">OFFSET(ORÇAMENTO!R$15,$L36,0)</f>
        <v>REGULARIZAÇÃO E COMPACTAÇÃO DE SUBLEITO DE SOLO PREDOMINANTEMENTE ARGILOSO, PARA OBRAS DE CONSTRUÇÃO DE PAVIMENTOS. AF_09/2024</v>
      </c>
      <c r="G36" s="164" t="str">
        <f ca="1">IF($D36&lt;&gt;"Serviço","",OFFSET(ORÇAMENTO!S$15,$L36,0))</f>
        <v>M2</v>
      </c>
      <c r="H36" s="122" cm="1">
        <f t="array" aca="1" ref="H36" ca="1">IF($D36&lt;&gt;"Serviço",0,IF(ACOMPANHAMENTO="BM",ROUND(OFFSET(ORÇAMENTO!AJ$15,$L36,0),15-13*ORÇAMENTO!$AF$7),IF(IFERROR(CÁLCULO.FrentesPreenchidas,0)=0,0,SUM(ROUND(OFFSET($P36,0,1,1,CÁLCULO.FrentesPreenchidas),15-13*ORÇAMENTO!$AF$7)))))</f>
        <v>1857.89</v>
      </c>
      <c r="I36" s="468" t="s">
        <v>1072</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t="s">
        <v>1152</v>
      </c>
      <c r="L36" s="165">
        <f ca="1">OFFSET(L36,-1,0)+1</f>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RECAPEAMENTO/RECUPERAÇÃO/PAVIMENTAÇÃO ASFÁLTICA - TRECHO DA RUA MARCOLINO GOMES DE OLIVEIRA</v>
      </c>
      <c r="O36" s="168"/>
      <c r="Q36" s="168">
        <v>1857.89</v>
      </c>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7115.72</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2</v>
      </c>
      <c r="AN36" s="171">
        <f ca="1">IF(OR($D36&lt;&gt;"Serviço",AND(AUTOEVENTO="Manual",$M36=$A$15)),0,
         IF(OFFSET(CRONOPLE!$F$15,$M36-$A$15,AN$13)=0,10^12,OFFSET(CRONOPLE!$F$15,$M36-$A$15,AN$13)))</f>
        <v>2</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51" x14ac:dyDescent="0.2">
      <c r="A37" s="7">
        <f t="shared" ca="1" si="8"/>
        <v>4</v>
      </c>
      <c r="B37" s="7" t="str">
        <f ca="1">OFFSET(ORÇAMENTO!C$15,$L37,0)</f>
        <v>S</v>
      </c>
      <c r="C37" s="7" t="str">
        <f ca="1">OFFSET(ORÇAMENTO!L$15,$L37,0)</f>
        <v>F</v>
      </c>
      <c r="D37" s="116" t="str">
        <f ca="1">OFFSET(ORÇAMENTO!N$15,$L37,0)</f>
        <v>Serviço</v>
      </c>
      <c r="E37" s="117" t="str">
        <f ca="1">OFFSET(ORÇAMENTO!O$15,$L37,0)</f>
        <v>1.4.4.</v>
      </c>
      <c r="F37" s="163" t="str">
        <f ca="1">OFFSET(ORÇAMENTO!R$15,$L37,0)</f>
        <v>CONSTRUÇÃO DE BASE E SUB-BASE PARA PAVIMENTAÇÃO DE BRITA GRADUADA SIMPLES TRATADA COM CIMENTO, COM ESPESSURA DE 15 CM - EXCLUSIVE CARGA E TRANSPORTE. AF_09/2024</v>
      </c>
      <c r="G37" s="164" t="str">
        <f ca="1">IF($D37&lt;&gt;"Serviço","",OFFSET(ORÇAMENTO!S$15,$L37,0))</f>
        <v>M3</v>
      </c>
      <c r="H37" s="122" cm="1">
        <f t="array" aca="1" ref="H37" ca="1">IF($D37&lt;&gt;"Serviço",0,IF(ACOMPANHAMENTO="BM",ROUND(OFFSET(ORÇAMENTO!AJ$15,$L37,0),15-13*ORÇAMENTO!$AF$7),IF(IFERROR(CÁLCULO.FrentesPreenchidas,0)=0,0,SUM(ROUND(OFFSET($P37,0,1,1,CÁLCULO.FrentesPreenchidas),15-13*ORÇAMENTO!$AF$7)))))</f>
        <v>306.55</v>
      </c>
      <c r="I37" s="468" t="s">
        <v>1059</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t="s">
        <v>1151</v>
      </c>
      <c r="L37" s="165">
        <f t="shared" ca="1" si="9"/>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RECAPEAMENTO/RECUPERAÇÃO/PAVIMENTAÇÃO ASFÁLTICA - TRECHO DA RUA MARCOLINO GOMES DE OLIVEIRA</v>
      </c>
      <c r="O37" s="168"/>
      <c r="Q37" s="168">
        <v>306.55</v>
      </c>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76901.13</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2</v>
      </c>
      <c r="AN37" s="171">
        <f ca="1">IF(OR($D37&lt;&gt;"Serviço",AND(AUTOEVENTO="Manual",$M37=$A$15)),0,
         IF(OFFSET(CRONOPLE!$F$15,$M37-$A$15,AN$13)=0,10^12,OFFSET(CRONOPLE!$F$15,$M37-$A$15,AN$13)))</f>
        <v>2</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51" x14ac:dyDescent="0.2">
      <c r="A38" s="7">
        <f t="shared" ca="1" si="8"/>
        <v>4</v>
      </c>
      <c r="B38" s="7" t="str">
        <f ca="1">OFFSET(ORÇAMENTO!C$15,$L38,0)</f>
        <v>S</v>
      </c>
      <c r="C38" s="7" t="str">
        <f ca="1">OFFSET(ORÇAMENTO!L$15,$L38,0)</f>
        <v>F</v>
      </c>
      <c r="D38" s="116" t="str">
        <f ca="1">OFFSET(ORÇAMENTO!N$15,$L38,0)</f>
        <v>Serviço</v>
      </c>
      <c r="E38" s="117" t="str">
        <f ca="1">OFFSET(ORÇAMENTO!O$15,$L38,0)</f>
        <v>1.4.5.</v>
      </c>
      <c r="F38" s="163" t="str">
        <f ca="1">OFFSET(ORÇAMENTO!R$15,$L38,0)</f>
        <v>TRANSPORTE COM CAMINHÃO BASCULANTE DE 14 M³, EM VIA URBANA PAVIMENTADA, DMT ATÉ 30 KM (UNIDADE: M3XKM). AF_07/2020</v>
      </c>
      <c r="G38" s="164" t="str">
        <f ca="1">IF($D38&lt;&gt;"Serviço","",OFFSET(ORÇAMENTO!S$15,$L38,0))</f>
        <v>M3XKM</v>
      </c>
      <c r="H38" s="122" cm="1">
        <f t="array" aca="1" ref="H38" ca="1">IF($D38&lt;&gt;"Serviço",0,IF(ACOMPANHAMENTO="BM",ROUND(OFFSET(ORÇAMENTO!AJ$15,$L38,0),15-13*ORÇAMENTO!$AF$7),IF(IFERROR(CÁLCULO.FrentesPreenchidas,0)=0,0,SUM(ROUND(OFFSET($P38,0,1,1,CÁLCULO.FrentesPreenchidas),15-13*ORÇAMENTO!$AF$7)))))</f>
        <v>9196.56</v>
      </c>
      <c r="I38" s="468" t="s">
        <v>1060</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t="s">
        <v>1151</v>
      </c>
      <c r="L38" s="165">
        <f t="shared" ca="1" si="9"/>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RECAPEAMENTO/RECUPERAÇÃO/PAVIMENTAÇÃO ASFÁLTICA - TRECHO DA RUA MARCOLINO GOMES DE OLIVEIRA</v>
      </c>
      <c r="O38" s="168"/>
      <c r="Q38" s="168">
        <v>9196.56</v>
      </c>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25566.44</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2</v>
      </c>
      <c r="AN38" s="171">
        <f ca="1">IF(OR($D38&lt;&gt;"Serviço",AND(AUTOEVENTO="Manual",$M38=$A$15)),0,
         IF(OFFSET(CRONOPLE!$F$15,$M38-$A$15,AN$13)=0,10^12,OFFSET(CRONOPLE!$F$15,$M38-$A$15,AN$13)))</f>
        <v>2</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51" x14ac:dyDescent="0.2">
      <c r="A39" s="7">
        <f t="shared" ca="1" si="8"/>
        <v>4</v>
      </c>
      <c r="B39" s="7" t="str">
        <f ca="1">OFFSET(ORÇAMENTO!C$15,$L39,0)</f>
        <v>S</v>
      </c>
      <c r="C39" s="7" t="str">
        <f ca="1">OFFSET(ORÇAMENTO!L$15,$L39,0)</f>
        <v>F</v>
      </c>
      <c r="D39" s="116" t="str">
        <f ca="1">OFFSET(ORÇAMENTO!N$15,$L39,0)</f>
        <v>Serviço</v>
      </c>
      <c r="E39" s="117" t="str">
        <f ca="1">OFFSET(ORÇAMENTO!O$15,$L39,0)</f>
        <v>1.4.6.</v>
      </c>
      <c r="F39" s="163" t="str">
        <f ca="1">OFFSET(ORÇAMENTO!R$15,$L39,0)</f>
        <v>VARRIÇÃO DE PAVIMENTO PARA RECAPEAMENTO</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3620.09</v>
      </c>
      <c r="I39" s="468" t="s">
        <v>1061</v>
      </c>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t="s">
        <v>1152</v>
      </c>
      <c r="L39" s="165">
        <f t="shared" ca="1" si="9"/>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RECAPEAMENTO/RECUPERAÇÃO/PAVIMENTAÇÃO ASFÁLTICA - TRECHO DA RUA MARCOLINO GOMES DE OLIVEIRA</v>
      </c>
      <c r="O39" s="168"/>
      <c r="Q39" s="168">
        <v>3620.09</v>
      </c>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3692.49</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2</v>
      </c>
      <c r="AN39" s="171">
        <f ca="1">IF(OR($D39&lt;&gt;"Serviço",AND(AUTOEVENTO="Manual",$M39=$A$15)),0,
         IF(OFFSET(CRONOPLE!$F$15,$M39-$A$15,AN$13)=0,10^12,OFFSET(CRONOPLE!$F$15,$M39-$A$15,AN$13)))</f>
        <v>2</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51" x14ac:dyDescent="0.2">
      <c r="A40" s="7">
        <f t="shared" ca="1" si="8"/>
        <v>4</v>
      </c>
      <c r="B40" s="7" t="str">
        <f ca="1">OFFSET(ORÇAMENTO!C$15,$L40,0)</f>
        <v>S</v>
      </c>
      <c r="C40" s="7" t="str">
        <f ca="1">OFFSET(ORÇAMENTO!L$15,$L40,0)</f>
        <v>F</v>
      </c>
      <c r="D40" s="116" t="str">
        <f ca="1">OFFSET(ORÇAMENTO!N$15,$L40,0)</f>
        <v>Serviço</v>
      </c>
      <c r="E40" s="117" t="str">
        <f ca="1">OFFSET(ORÇAMENTO!O$15,$L40,0)</f>
        <v>1.4.7.</v>
      </c>
      <c r="F40" s="163" t="str">
        <f ca="1">OFFSET(ORÇAMENTO!R$15,$L40,0)</f>
        <v>IMPRIMADURA BETUMINOSA IMPERMEABILIZANTE</v>
      </c>
      <c r="G40" s="164" t="str">
        <f ca="1">IF($D40&lt;&gt;"Serviço","",OFFSET(ORÇAMENTO!S$15,$L40,0))</f>
        <v>M2</v>
      </c>
      <c r="H40" s="122" cm="1">
        <f t="array" aca="1" ref="H40" ca="1">IF($D40&lt;&gt;"Serviço",0,IF(ACOMPANHAMENTO="BM",ROUND(OFFSET(ORÇAMENTO!AJ$15,$L40,0),15-13*ORÇAMENTO!$AF$7),IF(IFERROR(CÁLCULO.FrentesPreenchidas,0)=0,0,SUM(ROUND(OFFSET($P40,0,1,1,CÁLCULO.FrentesPreenchidas),15-13*ORÇAMENTO!$AF$7)))))</f>
        <v>1857.89</v>
      </c>
      <c r="I40" s="468" t="s">
        <v>1062</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t="s">
        <v>1152</v>
      </c>
      <c r="L40" s="165">
        <f t="shared" ca="1" si="9"/>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RECAPEAMENTO/RECUPERAÇÃO/PAVIMENTAÇÃO ASFÁLTICA - TRECHO DA RUA MARCOLINO GOMES DE OLIVEIRA</v>
      </c>
      <c r="O40" s="168"/>
      <c r="Q40" s="168">
        <v>1857.89</v>
      </c>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10831.5</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2</v>
      </c>
      <c r="AN40" s="171">
        <f ca="1">IF(OR($D40&lt;&gt;"Serviço",AND(AUTOEVENTO="Manual",$M40=$A$15)),0,
         IF(OFFSET(CRONOPLE!$F$15,$M40-$A$15,AN$13)=0,10^12,OFFSET(CRONOPLE!$F$15,$M40-$A$15,AN$13)))</f>
        <v>2</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51" x14ac:dyDescent="0.2">
      <c r="A41" s="7">
        <f t="shared" ca="1" si="8"/>
        <v>4</v>
      </c>
      <c r="B41" s="7" t="str">
        <f ca="1">OFFSET(ORÇAMENTO!C$15,$L41,0)</f>
        <v>S</v>
      </c>
      <c r="C41" s="7" t="str">
        <f ca="1">OFFSET(ORÇAMENTO!L$15,$L41,0)</f>
        <v>F</v>
      </c>
      <c r="D41" s="116" t="str">
        <f ca="1">OFFSET(ORÇAMENTO!N$15,$L41,0)</f>
        <v>Serviço</v>
      </c>
      <c r="E41" s="117" t="str">
        <f ca="1">OFFSET(ORÇAMENTO!O$15,$L41,0)</f>
        <v>1.4.8.</v>
      </c>
      <c r="F41" s="163" t="str">
        <f ca="1">OFFSET(ORÇAMENTO!R$15,$L41,0)</f>
        <v>IMPRIMADURA BETUMINOSA LIGANTE</v>
      </c>
      <c r="G41" s="164" t="str">
        <f ca="1">IF($D41&lt;&gt;"Serviço","",OFFSET(ORÇAMENTO!S$15,$L41,0))</f>
        <v>M2</v>
      </c>
      <c r="H41" s="122" cm="1">
        <f t="array" aca="1" ref="H41" ca="1">IF($D41&lt;&gt;"Serviço",0,IF(ACOMPANHAMENTO="BM",ROUND(OFFSET(ORÇAMENTO!AJ$15,$L41,0),15-13*ORÇAMENTO!$AF$7),IF(IFERROR(CÁLCULO.FrentesPreenchidas,0)=0,0,SUM(ROUND(OFFSET($P41,0,1,1,CÁLCULO.FrentesPreenchidas),15-13*ORÇAMENTO!$AF$7)))))</f>
        <v>5477.98</v>
      </c>
      <c r="I41" s="468" t="s">
        <v>1063</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t="s">
        <v>1152</v>
      </c>
      <c r="L41" s="165">
        <f t="shared" ca="1" si="9"/>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RECAPEAMENTO/RECUPERAÇÃO/PAVIMENTAÇÃO ASFÁLTICA - TRECHO DA RUA MARCOLINO GOMES DE OLIVEIRA</v>
      </c>
      <c r="O41" s="168"/>
      <c r="Q41" s="168">
        <v>5477.98</v>
      </c>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20706.759999999998</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2</v>
      </c>
      <c r="AN41" s="171">
        <f ca="1">IF(OR($D41&lt;&gt;"Serviço",AND(AUTOEVENTO="Manual",$M41=$A$15)),0,
         IF(OFFSET(CRONOPLE!$F$15,$M41-$A$15,AN$13)=0,10^12,OFFSET(CRONOPLE!$F$15,$M41-$A$15,AN$13)))</f>
        <v>2</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51" x14ac:dyDescent="0.2">
      <c r="A42" s="7">
        <f t="shared" ca="1" si="8"/>
        <v>4</v>
      </c>
      <c r="B42" s="7" t="str">
        <f ca="1">OFFSET(ORÇAMENTO!C$15,$L42,0)</f>
        <v>S</v>
      </c>
      <c r="C42" s="7" t="str">
        <f ca="1">OFFSET(ORÇAMENTO!L$15,$L42,0)</f>
        <v>F</v>
      </c>
      <c r="D42" s="116" t="str">
        <f ca="1">OFFSET(ORÇAMENTO!N$15,$L42,0)</f>
        <v>Serviço</v>
      </c>
      <c r="E42" s="117" t="str">
        <f ca="1">OFFSET(ORÇAMENTO!O$15,$L42,0)</f>
        <v>1.4.9.</v>
      </c>
      <c r="F42" s="163" t="str">
        <f ca="1">OFFSET(ORÇAMENTO!R$15,$L42,0)</f>
        <v>EXECUÇÃO DE PAVIMENTO COM APLICAÇÃO DE CONCRETO ASFÁLTICO, CAMADA DE ROLAMENTO - EXCLUSIVE CARGA E TRANSPORTE. AF_10/2025</v>
      </c>
      <c r="G42" s="164" t="str">
        <f ca="1">IF($D42&lt;&gt;"Serviço","",OFFSET(ORÇAMENTO!S$15,$L42,0))</f>
        <v>M3</v>
      </c>
      <c r="H42" s="122" cm="1">
        <f t="array" aca="1" ref="H42" ca="1">IF($D42&lt;&gt;"Serviço",0,IF(ACOMPANHAMENTO="BM",ROUND(OFFSET(ORÇAMENTO!AJ$15,$L42,0),15-13*ORÇAMENTO!$AF$7),IF(IFERROR(CÁLCULO.FrentesPreenchidas,0)=0,0,SUM(ROUND(OFFSET($P42,0,1,1,CÁLCULO.FrentesPreenchidas),15-13*ORÇAMENTO!$AF$7)))))</f>
        <v>191.73</v>
      </c>
      <c r="I42" s="468" t="s">
        <v>1067</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t="s">
        <v>1152</v>
      </c>
      <c r="L42" s="165">
        <f t="shared" ca="1" si="9"/>
        <v>27</v>
      </c>
      <c r="M42" s="166">
        <f ca="1">IF($D42&lt;&gt;"Serviço","",
          IF(AUTOEVENTO="manual",$A42,
                IF(ISERROR(MATCH($A42,$A$15:OFFSET($A42,-1,0),0)),MAX($M$15:OFFSET(M42,-1,0))+1,
                      INDEX($M$15:OFFSET(M42,-1,0),MATCH($A42,$A$15:OFFSET($A42,-1,0),0)))))</f>
        <v>4</v>
      </c>
      <c r="N42" s="167" t="str">
        <f ca="1">IF($D42&lt;&gt;"Serviço","",
         IF(AUTOEVENTO="Manual",
                IF($A42=0,"&lt;-- defina o número do agrupador",
                       OFFSET(EVENTOS!$D$15,$A42-$A$15,0)),
                OFFSET($F$15,$A42,0)))</f>
        <v>RECAPEAMENTO/RECUPERAÇÃO/PAVIMENTAÇÃO ASFÁLTICA - TRECHO DA RUA MARCOLINO GOMES DE OLIVEIRA</v>
      </c>
      <c r="O42" s="168"/>
      <c r="Q42" s="168">
        <v>191.73</v>
      </c>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356109.72</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2</v>
      </c>
      <c r="AN42" s="171">
        <f ca="1">IF(OR($D42&lt;&gt;"Serviço",AND(AUTOEVENTO="Manual",$M42=$A$15)),0,
         IF(OFFSET(CRONOPLE!$F$15,$M42-$A$15,AN$13)=0,10^12,OFFSET(CRONOPLE!$F$15,$M42-$A$15,AN$13)))</f>
        <v>2</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51" x14ac:dyDescent="0.2">
      <c r="A43" s="7">
        <f t="shared" ca="1" si="8"/>
        <v>4</v>
      </c>
      <c r="B43" s="7" t="str">
        <f ca="1">OFFSET(ORÇAMENTO!C$15,$L43,0)</f>
        <v>S</v>
      </c>
      <c r="C43" s="7" t="str">
        <f ca="1">OFFSET(ORÇAMENTO!L$15,$L43,0)</f>
        <v>F</v>
      </c>
      <c r="D43" s="116" t="str">
        <f ca="1">OFFSET(ORÇAMENTO!N$15,$L43,0)</f>
        <v>Serviço</v>
      </c>
      <c r="E43" s="117" t="str">
        <f ca="1">OFFSET(ORÇAMENTO!O$15,$L43,0)</f>
        <v>1.4.10.</v>
      </c>
      <c r="F43" s="163" t="str">
        <f ca="1">OFFSET(ORÇAMENTO!R$15,$L43,0)</f>
        <v>TRANSPORTE COM CAMINHÃO BASCULANTE DE 14 M³, EM VIA URBANA PAVIMENTADA, DMT ATÉ 30 KM (UNIDADE: M3XKM). AF_07/2020</v>
      </c>
      <c r="G43" s="164" t="str">
        <f ca="1">IF($D43&lt;&gt;"Serviço","",OFFSET(ORÇAMENTO!S$15,$L43,0))</f>
        <v>M3XKM</v>
      </c>
      <c r="H43" s="122" cm="1">
        <f t="array" aca="1" ref="H43" ca="1">IF($D43&lt;&gt;"Serviço",0,IF(ACOMPANHAMENTO="BM",ROUND(OFFSET(ORÇAMENTO!AJ$15,$L43,0),15-13*ORÇAMENTO!$AF$7),IF(IFERROR(CÁLCULO.FrentesPreenchidas,0)=0,0,SUM(ROUND(OFFSET($P43,0,1,1,CÁLCULO.FrentesPreenchidas),15-13*ORÇAMENTO!$AF$7)))))</f>
        <v>5751.9</v>
      </c>
      <c r="I43" s="468" t="s">
        <v>1064</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t="s">
        <v>1152</v>
      </c>
      <c r="L43" s="165">
        <f t="shared" ca="1" si="9"/>
        <v>28</v>
      </c>
      <c r="M43" s="166">
        <f ca="1">IF($D43&lt;&gt;"Serviço","",
          IF(AUTOEVENTO="manual",$A43,
                IF(ISERROR(MATCH($A43,$A$15:OFFSET($A43,-1,0),0)),MAX($M$15:OFFSET(M43,-1,0))+1,
                      INDEX($M$15:OFFSET(M43,-1,0),MATCH($A43,$A$15:OFFSET($A43,-1,0),0)))))</f>
        <v>4</v>
      </c>
      <c r="N43" s="167" t="str">
        <f ca="1">IF($D43&lt;&gt;"Serviço","",
         IF(AUTOEVENTO="Manual",
                IF($A43=0,"&lt;-- defina o número do agrupador",
                       OFFSET(EVENTOS!$D$15,$A43-$A$15,0)),
                OFFSET($F$15,$A43,0)))</f>
        <v>RECAPEAMENTO/RECUPERAÇÃO/PAVIMENTAÇÃO ASFÁLTICA - TRECHO DA RUA MARCOLINO GOMES DE OLIVEIRA</v>
      </c>
      <c r="O43" s="168"/>
      <c r="Q43" s="168">
        <v>5751.9</v>
      </c>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15990.28</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2</v>
      </c>
      <c r="AN43" s="171">
        <f ca="1">IF(OR($D43&lt;&gt;"Serviço",AND(AUTOEVENTO="Manual",$M43=$A$15)),0,
         IF(OFFSET(CRONOPLE!$F$15,$M43-$A$15,AN$13)=0,10^12,OFFSET(CRONOPLE!$F$15,$M43-$A$15,AN$13)))</f>
        <v>2</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25.5" x14ac:dyDescent="0.2">
      <c r="A44" s="7">
        <f t="shared" ca="1" si="8"/>
        <v>0</v>
      </c>
      <c r="B44" s="7">
        <f ca="1">OFFSET(ORÇAMENTO!C$15,$L44,0)</f>
        <v>2</v>
      </c>
      <c r="C44" s="7" t="str">
        <f ca="1">OFFSET(ORÇAMENTO!L$15,$L44,0)</f>
        <v>F</v>
      </c>
      <c r="D44" s="116" t="str">
        <f ca="1">OFFSET(ORÇAMENTO!N$15,$L44,0)</f>
        <v>Nível 2</v>
      </c>
      <c r="E44" s="117" t="str">
        <f ca="1">OFFSET(ORÇAMENTO!O$15,$L44,0)</f>
        <v>1.5.</v>
      </c>
      <c r="F44" s="163" t="str">
        <f ca="1">OFFSET(ORÇAMENTO!R$15,$L44,0)</f>
        <v>RECAPEAMENTO/RECUPERAÇÃO ASFÁLTICA - TRECHO DA RUA ANTÔNIO BANEDITO DE OLIVEIRA</v>
      </c>
      <c r="G44" s="164" t="str">
        <f ca="1">IF($D44&lt;&gt;"Serviço","",OFFSET(ORÇAMENTO!S$15,$L44,0))</f>
        <v/>
      </c>
      <c r="H44" s="122" cm="1">
        <f t="array" aca="1" ref="H44" ca="1">IF($D44&lt;&gt;"Serviço",0,IF(ACOMPANHAMENTO="BM",ROUND(OFFSET(ORÇAMENTO!AJ$15,$L44,0),15-13*ORÇAMENTO!$AF$7),IF(IFERROR(CÁLCULO.FrentesPreenchidas,0)=0,0,SUM(ROUND(OFFSET($P44,0,1,1,CÁLCULO.FrentesPreenchidas),15-13*ORÇAMENTO!$AF$7)))))</f>
        <v>0</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t="str">
        <f ca="1">IF($D44&lt;&gt;"Serviço","",
          IF(AUTOEVENTO="manual",$A44,
                IF(ISERROR(MATCH($A44,$A$15:OFFSET($A44,-1,0),0)),MAX($M$15:OFFSET(M44,-1,0))+1,
                      INDEX($M$15:OFFSET(M44,-1,0),MATCH($A44,$A$15:OFFSET($A44,-1,0),0)))))</f>
        <v/>
      </c>
      <c r="N44" s="167" t="str">
        <f ca="1">IF($D44&lt;&gt;"Serviço","",
         IF(AUTOEVENTO="Manual",
                IF($A44=0,"&lt;-- defina o número do agrupador",
                       OFFSET(EVENTOS!$D$15,$A44-$A$15,0)),
                OFFSET($F$15,$A44,0)))</f>
        <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0</v>
      </c>
      <c r="AN44" s="171">
        <f ca="1">IF(OR($D44&lt;&gt;"Serviço",AND(AUTOEVENTO="Manual",$M44=$A$15)),0,
         IF(OFFSET(CRONOPLE!$F$15,$M44-$A$15,AN$13)=0,10^12,OFFSET(CRONOPLE!$F$15,$M44-$A$15,AN$13)))</f>
        <v>0</v>
      </c>
      <c r="AO44" s="171">
        <f ca="1">IF(OR($D44&lt;&gt;"Serviço",AND(AUTOEVENTO="Manual",$M44=$A$15)),0,
         IF(OFFSET(CRONOPLE!$F$15,$M44-$A$15,AO$13)=0,10^12,OFFSET(CRONOPLE!$F$15,$M44-$A$15,AO$13)))</f>
        <v>0</v>
      </c>
      <c r="AP44" s="171">
        <f ca="1">IF(OR($D44&lt;&gt;"Serviço",AND(AUTOEVENTO="Manual",$M44=$A$15)),0,
         IF(OFFSET(CRONOPLE!$F$15,$M44-$A$15,AP$13)=0,10^12,OFFSET(CRONOPLE!$F$15,$M44-$A$15,AP$13)))</f>
        <v>0</v>
      </c>
      <c r="AQ44" s="171">
        <f ca="1">IF(OR($D44&lt;&gt;"Serviço",AND(AUTOEVENTO="Manual",$M44=$A$15)),0,
         IF(OFFSET(CRONOPLE!$F$15,$M44-$A$15,AQ$13)=0,10^12,OFFSET(CRONOPLE!$F$15,$M44-$A$15,AQ$13)))</f>
        <v>0</v>
      </c>
      <c r="AR44" s="171">
        <f ca="1">IF(OR($D44&lt;&gt;"Serviço",AND(AUTOEVENTO="Manual",$M44=$A$15)),0,
         IF(OFFSET(CRONOPLE!$F$15,$M44-$A$15,AR$13)=0,10^12,OFFSET(CRONOPLE!$F$15,$M44-$A$15,AR$13)))</f>
        <v>0</v>
      </c>
      <c r="AS44" s="171">
        <f ca="1">IF(OR($D44&lt;&gt;"Serviço",AND(AUTOEVENTO="Manual",$M44=$A$15)),0,
         IF(OFFSET(CRONOPLE!$F$15,$M44-$A$15,AS$13)=0,10^12,OFFSET(CRONOPLE!$F$15,$M44-$A$15,AS$13)))</f>
        <v>0</v>
      </c>
      <c r="AT44" s="171">
        <f ca="1">IF(OR($D44&lt;&gt;"Serviço",AND(AUTOEVENTO="Manual",$M44=$A$15)),0,
         IF(OFFSET(CRONOPLE!$F$15,$M44-$A$15,AT$13)=0,10^12,OFFSET(CRONOPLE!$F$15,$M44-$A$15,AT$13)))</f>
        <v>0</v>
      </c>
      <c r="AU44" s="171">
        <f ca="1">IF(OR($D44&lt;&gt;"Serviço",AND(AUTOEVENTO="Manual",$M44=$A$15)),0,
         IF(OFFSET(CRONOPLE!$F$15,$M44-$A$15,AU$13)=0,10^12,OFFSET(CRONOPLE!$F$15,$M44-$A$15,AU$13)))</f>
        <v>0</v>
      </c>
      <c r="AV44" s="171">
        <f ca="1">IF(OR($D44&lt;&gt;"Serviço",AND(AUTOEVENTO="Manual",$M44=$A$15)),0,
         IF(OFFSET(CRONOPLE!$F$15,$M44-$A$15,AV$13)=0,10^12,OFFSET(CRONOPLE!$F$15,$M44-$A$15,AV$13)))</f>
        <v>0</v>
      </c>
      <c r="AX44" s="172" cm="1">
        <f t="array" aca="1" ref="AX44" ca="1">IF(OR($D44&lt;&gt;"Serviço",AND(AUTOEVENTO="Manual",$M44=$A$15),$M44&gt;(ROW(PLE.lastrow)-ROW(PLE.firstrow))),0,
           IF(OFFSET(PLE!$G$15,$M44-$A$15,AX$13)="",10^12,OFFSET(PLE!$G$15,$M44-$A$15,AX$13)))</f>
        <v>0</v>
      </c>
      <c r="AY44" s="172" cm="1">
        <f t="array" aca="1" ref="AY44" ca="1">IF(OR($D44&lt;&gt;"Serviço",AND(AUTOEVENTO="Manual",$M44=$A$15),$M44&gt;(ROW(PLE.lastrow)-ROW(PLE.firstrow))),0,
           IF(OFFSET(PLE!$G$15,$M44-$A$15,AY$13)="",10^12,OFFSET(PLE!$G$15,$M44-$A$15,AY$13)))</f>
        <v>0</v>
      </c>
      <c r="AZ44" s="172" cm="1">
        <f t="array" aca="1" ref="AZ44" ca="1">IF(OR($D44&lt;&gt;"Serviço",AND(AUTOEVENTO="Manual",$M44=$A$15),$M44&gt;(ROW(PLE.lastrow)-ROW(PLE.firstrow))),0,
           IF(OFFSET(PLE!$G$15,$M44-$A$15,AZ$13)="",10^12,OFFSET(PLE!$G$15,$M44-$A$15,AZ$13)))</f>
        <v>0</v>
      </c>
      <c r="BA44" s="172" cm="1">
        <f t="array" aca="1" ref="BA44" ca="1">IF(OR($D44&lt;&gt;"Serviço",AND(AUTOEVENTO="Manual",$M44=$A$15),$M44&gt;(ROW(PLE.lastrow)-ROW(PLE.firstrow))),0,
           IF(OFFSET(PLE!$G$15,$M44-$A$15,BA$13)="",10^12,OFFSET(PLE!$G$15,$M44-$A$15,BA$13)))</f>
        <v>0</v>
      </c>
      <c r="BB44" s="172" cm="1">
        <f t="array" aca="1" ref="BB44" ca="1">IF(OR($D44&lt;&gt;"Serviço",AND(AUTOEVENTO="Manual",$M44=$A$15),$M44&gt;(ROW(PLE.lastrow)-ROW(PLE.firstrow))),0,
           IF(OFFSET(PLE!$G$15,$M44-$A$15,BB$13)="",10^12,OFFSET(PLE!$G$15,$M44-$A$15,BB$13)))</f>
        <v>0</v>
      </c>
      <c r="BC44" s="172" cm="1">
        <f t="array" aca="1" ref="BC44" ca="1">IF(OR($D44&lt;&gt;"Serviço",AND(AUTOEVENTO="Manual",$M44=$A$15),$M44&gt;(ROW(PLE.lastrow)-ROW(PLE.firstrow))),0,
           IF(OFFSET(PLE!$G$15,$M44-$A$15,BC$13)="",10^12,OFFSET(PLE!$G$15,$M44-$A$15,BC$13)))</f>
        <v>0</v>
      </c>
      <c r="BD44" s="172" cm="1">
        <f t="array" aca="1" ref="BD44" ca="1">IF(OR($D44&lt;&gt;"Serviço",AND(AUTOEVENTO="Manual",$M44=$A$15),$M44&gt;(ROW(PLE.lastrow)-ROW(PLE.firstrow))),0,
           IF(OFFSET(PLE!$G$15,$M44-$A$15,BD$13)="",10^12,OFFSET(PLE!$G$15,$M44-$A$15,BD$13)))</f>
        <v>0</v>
      </c>
      <c r="BE44" s="172" cm="1">
        <f t="array" aca="1" ref="BE44" ca="1">IF(OR($D44&lt;&gt;"Serviço",AND(AUTOEVENTO="Manual",$M44=$A$15),$M44&gt;(ROW(PLE.lastrow)-ROW(PLE.firstrow))),0,
           IF(OFFSET(PLE!$G$15,$M44-$A$15,BE$13)="",10^12,OFFSET(PLE!$G$15,$M44-$A$15,BE$13)))</f>
        <v>0</v>
      </c>
      <c r="BF44" s="172" cm="1">
        <f t="array" aca="1" ref="BF44" ca="1">IF(OR($D44&lt;&gt;"Serviço",AND(AUTOEVENTO="Manual",$M44=$A$15),$M44&gt;(ROW(PLE.lastrow)-ROW(PLE.firstrow))),0,
           IF(OFFSET(PLE!$G$15,$M44-$A$15,BF$13)="",10^12,OFFSET(PLE!$G$15,$M44-$A$15,BF$13)))</f>
        <v>0</v>
      </c>
      <c r="BG44" s="172" cm="1">
        <f t="array" aca="1" ref="BG44" ca="1">IF(OR($D44&lt;&gt;"Serviço",AND(AUTOEVENTO="Manual",$M44=$A$15),$M44&gt;(ROW(PLE.lastrow)-ROW(PLE.firstrow))),0,
           IF(OFFSET(PLE!$G$15,$M44-$A$15,BG$13)="",10^12,OFFSET(PLE!$G$15,$M44-$A$15,BG$13)))</f>
        <v>0</v>
      </c>
    </row>
    <row r="45" spans="1:59" ht="51" x14ac:dyDescent="0.2">
      <c r="A45" s="7">
        <f t="shared" ca="1" si="8"/>
        <v>5</v>
      </c>
      <c r="B45" s="7" t="str">
        <f ca="1">OFFSET(ORÇAMENTO!C$15,$L45,0)</f>
        <v>S</v>
      </c>
      <c r="C45" s="7" t="str">
        <f ca="1">OFFSET(ORÇAMENTO!L$15,$L45,0)</f>
        <v>F</v>
      </c>
      <c r="D45" s="116" t="str">
        <f ca="1">OFFSET(ORÇAMENTO!N$15,$L45,0)</f>
        <v>Serviço</v>
      </c>
      <c r="E45" s="117" t="str">
        <f ca="1">OFFSET(ORÇAMENTO!O$15,$L45,0)</f>
        <v>1.5.1.</v>
      </c>
      <c r="F45" s="163" t="str">
        <f ca="1">OFFSET(ORÇAMENTO!R$15,$L45,0)</f>
        <v>VARRIÇÃO DE PAVIMENTO PARA RECAPEAMENTO</v>
      </c>
      <c r="G45" s="164" t="str">
        <f ca="1">IF($D45&lt;&gt;"Serviço","",OFFSET(ORÇAMENTO!S$15,$L45,0))</f>
        <v>M2</v>
      </c>
      <c r="H45" s="122" cm="1">
        <f t="array" aca="1" ref="H45" ca="1">IF($D45&lt;&gt;"Serviço",0,IF(ACOMPANHAMENTO="BM",ROUND(OFFSET(ORÇAMENTO!AJ$15,$L45,0),15-13*ORÇAMENTO!$AF$7),IF(IFERROR(CÁLCULO.FrentesPreenchidas,0)=0,0,SUM(ROUND(OFFSET($P45,0,1,1,CÁLCULO.FrentesPreenchidas),15-13*ORÇAMENTO!$AF$7)))))</f>
        <v>3122.93</v>
      </c>
      <c r="I45" s="468" t="s">
        <v>1065</v>
      </c>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t="s">
        <v>1153</v>
      </c>
      <c r="L45" s="165">
        <f t="shared" ca="1" si="9"/>
        <v>30</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RECAPEAMENTO/RECUPERAÇÃO ASFÁLTICA - TRECHO DA RUA ANTÔNIO BANEDITO DE OLIVEIRA</v>
      </c>
      <c r="O45" s="168"/>
      <c r="Q45" s="168">
        <v>3122.93</v>
      </c>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3185.39</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2</v>
      </c>
      <c r="AN45" s="171">
        <f ca="1">IF(OR($D45&lt;&gt;"Serviço",AND(AUTOEVENTO="Manual",$M45=$A$15)),0,
         IF(OFFSET(CRONOPLE!$F$15,$M45-$A$15,AN$13)=0,10^12,OFFSET(CRONOPLE!$F$15,$M45-$A$15,AN$13)))</f>
        <v>2</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51" x14ac:dyDescent="0.2">
      <c r="A46" s="7">
        <f t="shared" ca="1" si="8"/>
        <v>5</v>
      </c>
      <c r="B46" s="7" t="str">
        <f ca="1">OFFSET(ORÇAMENTO!C$15,$L46,0)</f>
        <v>S</v>
      </c>
      <c r="C46" s="7" t="str">
        <f ca="1">OFFSET(ORÇAMENTO!L$15,$L46,0)</f>
        <v>F</v>
      </c>
      <c r="D46" s="116" t="str">
        <f ca="1">OFFSET(ORÇAMENTO!N$15,$L46,0)</f>
        <v>Serviço</v>
      </c>
      <c r="E46" s="117" t="str">
        <f ca="1">OFFSET(ORÇAMENTO!O$15,$L46,0)</f>
        <v>1.5.2.</v>
      </c>
      <c r="F46" s="163" t="str">
        <f ca="1">OFFSET(ORÇAMENTO!R$15,$L46,0)</f>
        <v>IMPRIMADURA BETUMINOSA LIGANTE</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3122.93</v>
      </c>
      <c r="I46" s="468" t="s">
        <v>1066</v>
      </c>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t="s">
        <v>1153</v>
      </c>
      <c r="L46" s="165">
        <f t="shared" ca="1" si="9"/>
        <v>31</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RECAPEAMENTO/RECUPERAÇÃO ASFÁLTICA - TRECHO DA RUA ANTÔNIO BANEDITO DE OLIVEIRA</v>
      </c>
      <c r="O46" s="168"/>
      <c r="Q46" s="168">
        <v>3122.93</v>
      </c>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11804.68</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2</v>
      </c>
      <c r="AN46" s="171">
        <f ca="1">IF(OR($D46&lt;&gt;"Serviço",AND(AUTOEVENTO="Manual",$M46=$A$15)),0,
         IF(OFFSET(CRONOPLE!$F$15,$M46-$A$15,AN$13)=0,10^12,OFFSET(CRONOPLE!$F$15,$M46-$A$15,AN$13)))</f>
        <v>2</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51" x14ac:dyDescent="0.2">
      <c r="A47" s="7">
        <f t="shared" ca="1" si="8"/>
        <v>5</v>
      </c>
      <c r="B47" s="7" t="str">
        <f ca="1">OFFSET(ORÇAMENTO!C$15,$L47,0)</f>
        <v>S</v>
      </c>
      <c r="C47" s="7" t="str">
        <f ca="1">OFFSET(ORÇAMENTO!L$15,$L47,0)</f>
        <v>F</v>
      </c>
      <c r="D47" s="116" t="str">
        <f ca="1">OFFSET(ORÇAMENTO!N$15,$L47,0)</f>
        <v>Serviço</v>
      </c>
      <c r="E47" s="117" t="str">
        <f ca="1">OFFSET(ORÇAMENTO!O$15,$L47,0)</f>
        <v>1.5.3.</v>
      </c>
      <c r="F47" s="163" t="str">
        <f ca="1">OFFSET(ORÇAMENTO!R$15,$L47,0)</f>
        <v>EXECUÇÃO DE PAVIMENTO COM APLICAÇÃO DE CONCRETO ASFÁLTICO, CAMADA DE ROLAMENTO - EXCLUSIVE CARGA E TRANSPORTE. AF_10/2025</v>
      </c>
      <c r="G47" s="164" t="str">
        <f ca="1">IF($D47&lt;&gt;"Serviço","",OFFSET(ORÇAMENTO!S$15,$L47,0))</f>
        <v>M3</v>
      </c>
      <c r="H47" s="122" cm="1">
        <f t="array" aca="1" ref="H47" ca="1">IF($D47&lt;&gt;"Serviço",0,IF(ACOMPANHAMENTO="BM",ROUND(OFFSET(ORÇAMENTO!AJ$15,$L47,0),15-13*ORÇAMENTO!$AF$7),IF(IFERROR(CÁLCULO.FrentesPreenchidas,0)=0,0,SUM(ROUND(OFFSET($P47,0,1,1,CÁLCULO.FrentesPreenchidas),15-13*ORÇAMENTO!$AF$7)))))</f>
        <v>109.3</v>
      </c>
      <c r="I47" s="468" t="s">
        <v>1068</v>
      </c>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t="s">
        <v>1153</v>
      </c>
      <c r="L47" s="165">
        <f t="shared" ca="1" si="9"/>
        <v>32</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RECAPEAMENTO/RECUPERAÇÃO ASFÁLTICA - TRECHO DA RUA ANTÔNIO BANEDITO DE OLIVEIRA</v>
      </c>
      <c r="O47" s="168"/>
      <c r="Q47" s="168">
        <v>109.3</v>
      </c>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203008.36</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2</v>
      </c>
      <c r="AN47" s="171">
        <f ca="1">IF(OR($D47&lt;&gt;"Serviço",AND(AUTOEVENTO="Manual",$M47=$A$15)),0,
         IF(OFFSET(CRONOPLE!$F$15,$M47-$A$15,AN$13)=0,10^12,OFFSET(CRONOPLE!$F$15,$M47-$A$15,AN$13)))</f>
        <v>2</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51" x14ac:dyDescent="0.2">
      <c r="A48" s="7">
        <f t="shared" ca="1" si="8"/>
        <v>5</v>
      </c>
      <c r="B48" s="7" t="str">
        <f ca="1">OFFSET(ORÇAMENTO!C$15,$L48,0)</f>
        <v>S</v>
      </c>
      <c r="C48" s="7" t="str">
        <f ca="1">OFFSET(ORÇAMENTO!L$15,$L48,0)</f>
        <v>F</v>
      </c>
      <c r="D48" s="116" t="str">
        <f ca="1">OFFSET(ORÇAMENTO!N$15,$L48,0)</f>
        <v>Serviço</v>
      </c>
      <c r="E48" s="117" t="str">
        <f ca="1">OFFSET(ORÇAMENTO!O$15,$L48,0)</f>
        <v>1.5.4.</v>
      </c>
      <c r="F48" s="163" t="str">
        <f ca="1">OFFSET(ORÇAMENTO!R$15,$L48,0)</f>
        <v>TRANSPORTE COM CAMINHÃO BASCULANTE DE 14 M³, EM VIA URBANA PAVIMENTADA, DMT ATÉ 30 KM (UNIDADE: M3XKM). AF_07/2020</v>
      </c>
      <c r="G48" s="164" t="str">
        <f ca="1">IF($D48&lt;&gt;"Serviço","",OFFSET(ORÇAMENTO!S$15,$L48,0))</f>
        <v>M3XKM</v>
      </c>
      <c r="H48" s="122" cm="1">
        <f t="array" aca="1" ref="H48" ca="1">IF($D48&lt;&gt;"Serviço",0,IF(ACOMPANHAMENTO="BM",ROUND(OFFSET(ORÇAMENTO!AJ$15,$L48,0),15-13*ORÇAMENTO!$AF$7),IF(IFERROR(CÁLCULO.FrentesPreenchidas,0)=0,0,SUM(ROUND(OFFSET($P48,0,1,1,CÁLCULO.FrentesPreenchidas),15-13*ORÇAMENTO!$AF$7)))))</f>
        <v>3279</v>
      </c>
      <c r="I48" s="468" t="s">
        <v>1069</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t="s">
        <v>1153</v>
      </c>
      <c r="L48" s="165">
        <f t="shared" ca="1" si="9"/>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RECAPEAMENTO/RECUPERAÇÃO ASFÁLTICA - TRECHO DA RUA ANTÔNIO BANEDITO DE OLIVEIRA</v>
      </c>
      <c r="O48" s="168"/>
      <c r="Q48" s="168">
        <v>3279</v>
      </c>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9115.6200000000008</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2</v>
      </c>
      <c r="AN48" s="171">
        <f ca="1">IF(OR($D48&lt;&gt;"Serviço",AND(AUTOEVENTO="Manual",$M48=$A$15)),0,
         IF(OFFSET(CRONOPLE!$F$15,$M48-$A$15,AN$13)=0,10^12,OFFSET(CRONOPLE!$F$15,$M48-$A$15,AN$13)))</f>
        <v>2</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25.5" x14ac:dyDescent="0.2">
      <c r="A49" s="7">
        <f t="shared" ca="1" si="8"/>
        <v>0</v>
      </c>
      <c r="B49" s="7">
        <f ca="1">OFFSET(ORÇAMENTO!C$15,$L49,0)</f>
        <v>2</v>
      </c>
      <c r="C49" s="7" t="str">
        <f ca="1">OFFSET(ORÇAMENTO!L$15,$L49,0)</f>
        <v>F</v>
      </c>
      <c r="D49" s="116" t="str">
        <f ca="1">OFFSET(ORÇAMENTO!N$15,$L49,0)</f>
        <v>Nível 2</v>
      </c>
      <c r="E49" s="117" t="str">
        <f ca="1">OFFSET(ORÇAMENTO!O$15,$L49,0)</f>
        <v>1.6.</v>
      </c>
      <c r="F49" s="163" t="str">
        <f ca="1">OFFSET(ORÇAMENTO!R$15,$L49,0)</f>
        <v>RECAPEAMENTO/RECUPERAÇÃO ASFÁLTICA - TRECHO DA RUA ANTÔNIO MORAES ROSA</v>
      </c>
      <c r="G49" s="164" t="str">
        <f ca="1">IF($D49&lt;&gt;"Serviço","",OFFSET(ORÇAMENTO!S$15,$L49,0))</f>
        <v/>
      </c>
      <c r="H49" s="122" cm="1">
        <f t="array" aca="1" ref="H49" ca="1">IF($D49&lt;&gt;"Serviço",0,IF(ACOMPANHAMENTO="BM",ROUND(OFFSET(ORÇAMENTO!AJ$15,$L49,0),15-13*ORÇAMENTO!$AF$7),IF(IFERROR(CÁLCULO.FrentesPreenchidas,0)=0,0,SUM(ROUND(OFFSET($P49,0,1,1,CÁLCULO.FrentesPreenchidas),15-13*ORÇAMENTO!$AF$7)))))</f>
        <v>0</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t="str">
        <f ca="1">IF($D49&lt;&gt;"Serviço","",
          IF(AUTOEVENTO="manual",$A49,
                IF(ISERROR(MATCH($A49,$A$15:OFFSET($A49,-1,0),0)),MAX($M$15:OFFSET(M49,-1,0))+1,
                      INDEX($M$15:OFFSET(M49,-1,0),MATCH($A49,$A$15:OFFSET($A49,-1,0),0)))))</f>
        <v/>
      </c>
      <c r="N49" s="167" t="str">
        <f ca="1">IF($D49&lt;&gt;"Serviço","",
         IF(AUTOEVENTO="Manual",
                IF($A49=0,"&lt;-- defina o número do agrupador",
                       OFFSET(EVENTOS!$D$15,$A49-$A$15,0)),
                OFFSET($F$15,$A49,0)))</f>
        <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0</v>
      </c>
      <c r="AN49" s="171">
        <f ca="1">IF(OR($D49&lt;&gt;"Serviço",AND(AUTOEVENTO="Manual",$M49=$A$15)),0,
         IF(OFFSET(CRONOPLE!$F$15,$M49-$A$15,AN$13)=0,10^12,OFFSET(CRONOPLE!$F$15,$M49-$A$15,AN$13)))</f>
        <v>0</v>
      </c>
      <c r="AO49" s="171">
        <f ca="1">IF(OR($D49&lt;&gt;"Serviço",AND(AUTOEVENTO="Manual",$M49=$A$15)),0,
         IF(OFFSET(CRONOPLE!$F$15,$M49-$A$15,AO$13)=0,10^12,OFFSET(CRONOPLE!$F$15,$M49-$A$15,AO$13)))</f>
        <v>0</v>
      </c>
      <c r="AP49" s="171">
        <f ca="1">IF(OR($D49&lt;&gt;"Serviço",AND(AUTOEVENTO="Manual",$M49=$A$15)),0,
         IF(OFFSET(CRONOPLE!$F$15,$M49-$A$15,AP$13)=0,10^12,OFFSET(CRONOPLE!$F$15,$M49-$A$15,AP$13)))</f>
        <v>0</v>
      </c>
      <c r="AQ49" s="171">
        <f ca="1">IF(OR($D49&lt;&gt;"Serviço",AND(AUTOEVENTO="Manual",$M49=$A$15)),0,
         IF(OFFSET(CRONOPLE!$F$15,$M49-$A$15,AQ$13)=0,10^12,OFFSET(CRONOPLE!$F$15,$M49-$A$15,AQ$13)))</f>
        <v>0</v>
      </c>
      <c r="AR49" s="171">
        <f ca="1">IF(OR($D49&lt;&gt;"Serviço",AND(AUTOEVENTO="Manual",$M49=$A$15)),0,
         IF(OFFSET(CRONOPLE!$F$15,$M49-$A$15,AR$13)=0,10^12,OFFSET(CRONOPLE!$F$15,$M49-$A$15,AR$13)))</f>
        <v>0</v>
      </c>
      <c r="AS49" s="171">
        <f ca="1">IF(OR($D49&lt;&gt;"Serviço",AND(AUTOEVENTO="Manual",$M49=$A$15)),0,
         IF(OFFSET(CRONOPLE!$F$15,$M49-$A$15,AS$13)=0,10^12,OFFSET(CRONOPLE!$F$15,$M49-$A$15,AS$13)))</f>
        <v>0</v>
      </c>
      <c r="AT49" s="171">
        <f ca="1">IF(OR($D49&lt;&gt;"Serviço",AND(AUTOEVENTO="Manual",$M49=$A$15)),0,
         IF(OFFSET(CRONOPLE!$F$15,$M49-$A$15,AT$13)=0,10^12,OFFSET(CRONOPLE!$F$15,$M49-$A$15,AT$13)))</f>
        <v>0</v>
      </c>
      <c r="AU49" s="171">
        <f ca="1">IF(OR($D49&lt;&gt;"Serviço",AND(AUTOEVENTO="Manual",$M49=$A$15)),0,
         IF(OFFSET(CRONOPLE!$F$15,$M49-$A$15,AU$13)=0,10^12,OFFSET(CRONOPLE!$F$15,$M49-$A$15,AU$13)))</f>
        <v>0</v>
      </c>
      <c r="AV49" s="171">
        <f ca="1">IF(OR($D49&lt;&gt;"Serviço",AND(AUTOEVENTO="Manual",$M49=$A$15)),0,
         IF(OFFSET(CRONOPLE!$F$15,$M49-$A$15,AV$13)=0,10^12,OFFSET(CRONOPLE!$F$15,$M49-$A$15,AV$13)))</f>
        <v>0</v>
      </c>
      <c r="AX49" s="172" cm="1">
        <f t="array" aca="1" ref="AX49" ca="1">IF(OR($D49&lt;&gt;"Serviço",AND(AUTOEVENTO="Manual",$M49=$A$15),$M49&gt;(ROW(PLE.lastrow)-ROW(PLE.firstrow))),0,
           IF(OFFSET(PLE!$G$15,$M49-$A$15,AX$13)="",10^12,OFFSET(PLE!$G$15,$M49-$A$15,AX$13)))</f>
        <v>0</v>
      </c>
      <c r="AY49" s="172" cm="1">
        <f t="array" aca="1" ref="AY49" ca="1">IF(OR($D49&lt;&gt;"Serviço",AND(AUTOEVENTO="Manual",$M49=$A$15),$M49&gt;(ROW(PLE.lastrow)-ROW(PLE.firstrow))),0,
           IF(OFFSET(PLE!$G$15,$M49-$A$15,AY$13)="",10^12,OFFSET(PLE!$G$15,$M49-$A$15,AY$13)))</f>
        <v>0</v>
      </c>
      <c r="AZ49" s="172" cm="1">
        <f t="array" aca="1" ref="AZ49" ca="1">IF(OR($D49&lt;&gt;"Serviço",AND(AUTOEVENTO="Manual",$M49=$A$15),$M49&gt;(ROW(PLE.lastrow)-ROW(PLE.firstrow))),0,
           IF(OFFSET(PLE!$G$15,$M49-$A$15,AZ$13)="",10^12,OFFSET(PLE!$G$15,$M49-$A$15,AZ$13)))</f>
        <v>0</v>
      </c>
      <c r="BA49" s="172" cm="1">
        <f t="array" aca="1" ref="BA49" ca="1">IF(OR($D49&lt;&gt;"Serviço",AND(AUTOEVENTO="Manual",$M49=$A$15),$M49&gt;(ROW(PLE.lastrow)-ROW(PLE.firstrow))),0,
           IF(OFFSET(PLE!$G$15,$M49-$A$15,BA$13)="",10^12,OFFSET(PLE!$G$15,$M49-$A$15,BA$13)))</f>
        <v>0</v>
      </c>
      <c r="BB49" s="172" cm="1">
        <f t="array" aca="1" ref="BB49" ca="1">IF(OR($D49&lt;&gt;"Serviço",AND(AUTOEVENTO="Manual",$M49=$A$15),$M49&gt;(ROW(PLE.lastrow)-ROW(PLE.firstrow))),0,
           IF(OFFSET(PLE!$G$15,$M49-$A$15,BB$13)="",10^12,OFFSET(PLE!$G$15,$M49-$A$15,BB$13)))</f>
        <v>0</v>
      </c>
      <c r="BC49" s="172" cm="1">
        <f t="array" aca="1" ref="BC49" ca="1">IF(OR($D49&lt;&gt;"Serviço",AND(AUTOEVENTO="Manual",$M49=$A$15),$M49&gt;(ROW(PLE.lastrow)-ROW(PLE.firstrow))),0,
           IF(OFFSET(PLE!$G$15,$M49-$A$15,BC$13)="",10^12,OFFSET(PLE!$G$15,$M49-$A$15,BC$13)))</f>
        <v>0</v>
      </c>
      <c r="BD49" s="172" cm="1">
        <f t="array" aca="1" ref="BD49" ca="1">IF(OR($D49&lt;&gt;"Serviço",AND(AUTOEVENTO="Manual",$M49=$A$15),$M49&gt;(ROW(PLE.lastrow)-ROW(PLE.firstrow))),0,
           IF(OFFSET(PLE!$G$15,$M49-$A$15,BD$13)="",10^12,OFFSET(PLE!$G$15,$M49-$A$15,BD$13)))</f>
        <v>0</v>
      </c>
      <c r="BE49" s="172" cm="1">
        <f t="array" aca="1" ref="BE49" ca="1">IF(OR($D49&lt;&gt;"Serviço",AND(AUTOEVENTO="Manual",$M49=$A$15),$M49&gt;(ROW(PLE.lastrow)-ROW(PLE.firstrow))),0,
           IF(OFFSET(PLE!$G$15,$M49-$A$15,BE$13)="",10^12,OFFSET(PLE!$G$15,$M49-$A$15,BE$13)))</f>
        <v>0</v>
      </c>
      <c r="BF49" s="172" cm="1">
        <f t="array" aca="1" ref="BF49" ca="1">IF(OR($D49&lt;&gt;"Serviço",AND(AUTOEVENTO="Manual",$M49=$A$15),$M49&gt;(ROW(PLE.lastrow)-ROW(PLE.firstrow))),0,
           IF(OFFSET(PLE!$G$15,$M49-$A$15,BF$13)="",10^12,OFFSET(PLE!$G$15,$M49-$A$15,BF$13)))</f>
        <v>0</v>
      </c>
      <c r="BG49" s="172" cm="1">
        <f t="array" aca="1" ref="BG49" ca="1">IF(OR($D49&lt;&gt;"Serviço",AND(AUTOEVENTO="Manual",$M49=$A$15),$M49&gt;(ROW(PLE.lastrow)-ROW(PLE.firstrow))),0,
           IF(OFFSET(PLE!$G$15,$M49-$A$15,BG$13)="",10^12,OFFSET(PLE!$G$15,$M49-$A$15,BG$13)))</f>
        <v>0</v>
      </c>
    </row>
    <row r="50" spans="1:59" ht="38.25" x14ac:dyDescent="0.2">
      <c r="A50" s="7">
        <f t="shared" ca="1" si="8"/>
        <v>6</v>
      </c>
      <c r="B50" s="7" t="str">
        <f ca="1">OFFSET(ORÇAMENTO!C$15,$L50,0)</f>
        <v>S</v>
      </c>
      <c r="C50" s="7" t="str">
        <f ca="1">OFFSET(ORÇAMENTO!L$15,$L50,0)</f>
        <v>F</v>
      </c>
      <c r="D50" s="116" t="str">
        <f ca="1">OFFSET(ORÇAMENTO!N$15,$L50,0)</f>
        <v>Serviço</v>
      </c>
      <c r="E50" s="117" t="str">
        <f ca="1">OFFSET(ORÇAMENTO!O$15,$L50,0)</f>
        <v>1.6.1.</v>
      </c>
      <c r="F50" s="163" t="str">
        <f ca="1">OFFSET(ORÇAMENTO!R$15,$L50,0)</f>
        <v>VARRIÇÃO DE PAVIMENTO PARA RECAPEAMENTO</v>
      </c>
      <c r="G50" s="164" t="str">
        <f ca="1">IF($D50&lt;&gt;"Serviço","",OFFSET(ORÇAMENTO!S$15,$L50,0))</f>
        <v>M2</v>
      </c>
      <c r="H50" s="122" cm="1">
        <f t="array" aca="1" ref="H50" ca="1">IF($D50&lt;&gt;"Serviço",0,IF(ACOMPANHAMENTO="BM",ROUND(OFFSET(ORÇAMENTO!AJ$15,$L50,0),15-13*ORÇAMENTO!$AF$7),IF(IFERROR(CÁLCULO.FrentesPreenchidas,0)=0,0,SUM(ROUND(OFFSET($P50,0,1,1,CÁLCULO.FrentesPreenchidas),15-13*ORÇAMENTO!$AF$7)))))</f>
        <v>2064.87</v>
      </c>
      <c r="I50" s="468" t="s">
        <v>1075</v>
      </c>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t="s">
        <v>1154</v>
      </c>
      <c r="L50" s="165">
        <f t="shared" ca="1" si="9"/>
        <v>35</v>
      </c>
      <c r="M50" s="166">
        <f ca="1">IF($D50&lt;&gt;"Serviço","",
          IF(AUTOEVENTO="manual",$A50,
                IF(ISERROR(MATCH($A50,$A$15:OFFSET($A50,-1,0),0)),MAX($M$15:OFFSET(M50,-1,0))+1,
                      INDEX($M$15:OFFSET(M50,-1,0),MATCH($A50,$A$15:OFFSET($A50,-1,0),0)))))</f>
        <v>6</v>
      </c>
      <c r="N50" s="167" t="str">
        <f ca="1">IF($D50&lt;&gt;"Serviço","",
         IF(AUTOEVENTO="Manual",
                IF($A50=0,"&lt;-- defina o número do agrupador",
                       OFFSET(EVENTOS!$D$15,$A50-$A$15,0)),
                OFFSET($F$15,$A50,0)))</f>
        <v>RECAPEAMENTO/RECUPERAÇÃO ASFÁLTICA - TRECHO DA RUA ANTÔNIO MORAES ROSA</v>
      </c>
      <c r="O50" s="168"/>
      <c r="Q50" s="168">
        <v>2064.87</v>
      </c>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2106.17</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2</v>
      </c>
      <c r="AN50" s="171">
        <f ca="1">IF(OR($D50&lt;&gt;"Serviço",AND(AUTOEVENTO="Manual",$M50=$A$15)),0,
         IF(OFFSET(CRONOPLE!$F$15,$M50-$A$15,AN$13)=0,10^12,OFFSET(CRONOPLE!$F$15,$M50-$A$15,AN$13)))</f>
        <v>2</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38.25" x14ac:dyDescent="0.2">
      <c r="A51" s="7">
        <f t="shared" ca="1" si="8"/>
        <v>6</v>
      </c>
      <c r="B51" s="7" t="str">
        <f ca="1">OFFSET(ORÇAMENTO!C$15,$L51,0)</f>
        <v>S</v>
      </c>
      <c r="C51" s="7" t="str">
        <f ca="1">OFFSET(ORÇAMENTO!L$15,$L51,0)</f>
        <v>F</v>
      </c>
      <c r="D51" s="116" t="str">
        <f ca="1">OFFSET(ORÇAMENTO!N$15,$L51,0)</f>
        <v>Serviço</v>
      </c>
      <c r="E51" s="117" t="str">
        <f ca="1">OFFSET(ORÇAMENTO!O$15,$L51,0)</f>
        <v>1.6.2.</v>
      </c>
      <c r="F51" s="163" t="str">
        <f ca="1">OFFSET(ORÇAMENTO!R$15,$L51,0)</f>
        <v>IMPRIMADURA BETUMINOSA LIGANTE</v>
      </c>
      <c r="G51" s="164" t="str">
        <f ca="1">IF($D51&lt;&gt;"Serviço","",OFFSET(ORÇAMENTO!S$15,$L51,0))</f>
        <v>M2</v>
      </c>
      <c r="H51" s="122" cm="1">
        <f t="array" aca="1" ref="H51" ca="1">IF($D51&lt;&gt;"Serviço",0,IF(ACOMPANHAMENTO="BM",ROUND(OFFSET(ORÇAMENTO!AJ$15,$L51,0),15-13*ORÇAMENTO!$AF$7),IF(IFERROR(CÁLCULO.FrentesPreenchidas,0)=0,0,SUM(ROUND(OFFSET($P51,0,1,1,CÁLCULO.FrentesPreenchidas),15-13*ORÇAMENTO!$AF$7)))))</f>
        <v>2064.87</v>
      </c>
      <c r="I51" s="468" t="s">
        <v>1075</v>
      </c>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t="s">
        <v>1154</v>
      </c>
      <c r="L51" s="165">
        <f t="shared" ca="1" si="9"/>
        <v>36</v>
      </c>
      <c r="M51" s="166">
        <f ca="1">IF($D51&lt;&gt;"Serviço","",
          IF(AUTOEVENTO="manual",$A51,
                IF(ISERROR(MATCH($A51,$A$15:OFFSET($A51,-1,0),0)),MAX($M$15:OFFSET(M51,-1,0))+1,
                      INDEX($M$15:OFFSET(M51,-1,0),MATCH($A51,$A$15:OFFSET($A51,-1,0),0)))))</f>
        <v>6</v>
      </c>
      <c r="N51" s="167" t="str">
        <f ca="1">IF($D51&lt;&gt;"Serviço","",
         IF(AUTOEVENTO="Manual",
                IF($A51=0,"&lt;-- defina o número do agrupador",
                       OFFSET(EVENTOS!$D$15,$A51-$A$15,0)),
                OFFSET($F$15,$A51,0)))</f>
        <v>RECAPEAMENTO/RECUPERAÇÃO ASFÁLTICA - TRECHO DA RUA ANTÔNIO MORAES ROSA</v>
      </c>
      <c r="O51" s="168"/>
      <c r="Q51" s="168">
        <v>2064.87</v>
      </c>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7805.21</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2</v>
      </c>
      <c r="AN51" s="171">
        <f ca="1">IF(OR($D51&lt;&gt;"Serviço",AND(AUTOEVENTO="Manual",$M51=$A$15)),0,
         IF(OFFSET(CRONOPLE!$F$15,$M51-$A$15,AN$13)=0,10^12,OFFSET(CRONOPLE!$F$15,$M51-$A$15,AN$13)))</f>
        <v>2</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51" x14ac:dyDescent="0.2">
      <c r="A52" s="7">
        <f t="shared" ca="1" si="8"/>
        <v>6</v>
      </c>
      <c r="B52" s="7" t="str">
        <f ca="1">OFFSET(ORÇAMENTO!C$15,$L52,0)</f>
        <v>S</v>
      </c>
      <c r="C52" s="7" t="str">
        <f ca="1">OFFSET(ORÇAMENTO!L$15,$L52,0)</f>
        <v>F</v>
      </c>
      <c r="D52" s="116" t="str">
        <f ca="1">OFFSET(ORÇAMENTO!N$15,$L52,0)</f>
        <v>Serviço</v>
      </c>
      <c r="E52" s="117" t="str">
        <f ca="1">OFFSET(ORÇAMENTO!O$15,$L52,0)</f>
        <v>1.6.3.</v>
      </c>
      <c r="F52" s="163" t="str">
        <f ca="1">OFFSET(ORÇAMENTO!R$15,$L52,0)</f>
        <v>EXECUÇÃO DE PAVIMENTO COM APLICAÇÃO DE CONCRETO ASFÁLTICO, CAMADA DE ROLAMENTO - EXCLUSIVE CARGA E TRANSPORTE. AF_10/2025</v>
      </c>
      <c r="G52" s="164" t="str">
        <f ca="1">IF($D52&lt;&gt;"Serviço","",OFFSET(ORÇAMENTO!S$15,$L52,0))</f>
        <v>M3</v>
      </c>
      <c r="H52" s="122" cm="1">
        <f t="array" aca="1" ref="H52" ca="1">IF($D52&lt;&gt;"Serviço",0,IF(ACOMPANHAMENTO="BM",ROUND(OFFSET(ORÇAMENTO!AJ$15,$L52,0),15-13*ORÇAMENTO!$AF$7),IF(IFERROR(CÁLCULO.FrentesPreenchidas,0)=0,0,SUM(ROUND(OFFSET($P52,0,1,1,CÁLCULO.FrentesPreenchidas),15-13*ORÇAMENTO!$AF$7)))))</f>
        <v>72.27</v>
      </c>
      <c r="I52" s="468" t="s">
        <v>1076</v>
      </c>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t="s">
        <v>1154</v>
      </c>
      <c r="L52" s="165">
        <f t="shared" ca="1" si="9"/>
        <v>37</v>
      </c>
      <c r="M52" s="166">
        <f ca="1">IF($D52&lt;&gt;"Serviço","",
          IF(AUTOEVENTO="manual",$A52,
                IF(ISERROR(MATCH($A52,$A$15:OFFSET($A52,-1,0),0)),MAX($M$15:OFFSET(M52,-1,0))+1,
                      INDEX($M$15:OFFSET(M52,-1,0),MATCH($A52,$A$15:OFFSET($A52,-1,0),0)))))</f>
        <v>6</v>
      </c>
      <c r="N52" s="167" t="str">
        <f ca="1">IF($D52&lt;&gt;"Serviço","",
         IF(AUTOEVENTO="Manual",
                IF($A52=0,"&lt;-- defina o número do agrupador",
                       OFFSET(EVENTOS!$D$15,$A52-$A$15,0)),
                OFFSET($F$15,$A52,0)))</f>
        <v>RECAPEAMENTO/RECUPERAÇÃO ASFÁLTICA - TRECHO DA RUA ANTÔNIO MORAES ROSA</v>
      </c>
      <c r="O52" s="168"/>
      <c r="Q52" s="168">
        <v>72.27</v>
      </c>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134230.68</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2</v>
      </c>
      <c r="AN52" s="171">
        <f ca="1">IF(OR($D52&lt;&gt;"Serviço",AND(AUTOEVENTO="Manual",$M52=$A$15)),0,
         IF(OFFSET(CRONOPLE!$F$15,$M52-$A$15,AN$13)=0,10^12,OFFSET(CRONOPLE!$F$15,$M52-$A$15,AN$13)))</f>
        <v>2</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38.25" x14ac:dyDescent="0.2">
      <c r="A53" s="7">
        <f t="shared" ca="1" si="8"/>
        <v>6</v>
      </c>
      <c r="B53" s="7" t="str">
        <f ca="1">OFFSET(ORÇAMENTO!C$15,$L53,0)</f>
        <v>S</v>
      </c>
      <c r="C53" s="7" t="str">
        <f ca="1">OFFSET(ORÇAMENTO!L$15,$L53,0)</f>
        <v>F</v>
      </c>
      <c r="D53" s="116" t="str">
        <f ca="1">OFFSET(ORÇAMENTO!N$15,$L53,0)</f>
        <v>Serviço</v>
      </c>
      <c r="E53" s="117" t="str">
        <f ca="1">OFFSET(ORÇAMENTO!O$15,$L53,0)</f>
        <v>1.6.4.</v>
      </c>
      <c r="F53" s="163" t="str">
        <f ca="1">OFFSET(ORÇAMENTO!R$15,$L53,0)</f>
        <v>TRANSPORTE COM CAMINHÃO BASCULANTE DE 14 M³, EM VIA URBANA PAVIMENTADA, DMT ATÉ 30 KM (UNIDADE: M3XKM). AF_07/2020</v>
      </c>
      <c r="G53" s="164" t="str">
        <f ca="1">IF($D53&lt;&gt;"Serviço","",OFFSET(ORÇAMENTO!S$15,$L53,0))</f>
        <v>M3XKM</v>
      </c>
      <c r="H53" s="122" cm="1">
        <f t="array" aca="1" ref="H53" ca="1">IF($D53&lt;&gt;"Serviço",0,IF(ACOMPANHAMENTO="BM",ROUND(OFFSET(ORÇAMENTO!AJ$15,$L53,0),15-13*ORÇAMENTO!$AF$7),IF(IFERROR(CÁLCULO.FrentesPreenchidas,0)=0,0,SUM(ROUND(OFFSET($P53,0,1,1,CÁLCULO.FrentesPreenchidas),15-13*ORÇAMENTO!$AF$7)))))</f>
        <v>2168.11</v>
      </c>
      <c r="I53" s="468" t="s">
        <v>1077</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t="s">
        <v>1154</v>
      </c>
      <c r="L53" s="165">
        <f t="shared" ca="1" si="9"/>
        <v>38</v>
      </c>
      <c r="M53" s="166">
        <f ca="1">IF($D53&lt;&gt;"Serviço","",
          IF(AUTOEVENTO="manual",$A53,
                IF(ISERROR(MATCH($A53,$A$15:OFFSET($A53,-1,0),0)),MAX($M$15:OFFSET(M53,-1,0))+1,
                      INDEX($M$15:OFFSET(M53,-1,0),MATCH($A53,$A$15:OFFSET($A53,-1,0),0)))))</f>
        <v>6</v>
      </c>
      <c r="N53" s="167" t="str">
        <f ca="1">IF($D53&lt;&gt;"Serviço","",
         IF(AUTOEVENTO="Manual",
                IF($A53=0,"&lt;-- defina o número do agrupador",
                       OFFSET(EVENTOS!$D$15,$A53-$A$15,0)),
                OFFSET($F$15,$A53,0)))</f>
        <v>RECAPEAMENTO/RECUPERAÇÃO ASFÁLTICA - TRECHO DA RUA ANTÔNIO MORAES ROSA</v>
      </c>
      <c r="O53" s="168"/>
      <c r="Q53" s="168">
        <v>2168.11</v>
      </c>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6027.35</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2</v>
      </c>
      <c r="AN53" s="171">
        <f ca="1">IF(OR($D53&lt;&gt;"Serviço",AND(AUTOEVENTO="Manual",$M53=$A$15)),0,
         IF(OFFSET(CRONOPLE!$F$15,$M53-$A$15,AN$13)=0,10^12,OFFSET(CRONOPLE!$F$15,$M53-$A$15,AN$13)))</f>
        <v>2</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12.75" x14ac:dyDescent="0.2">
      <c r="A54" s="7">
        <f t="shared" ca="1" si="8"/>
        <v>0</v>
      </c>
      <c r="B54" s="7">
        <f ca="1">OFFSET(ORÇAMENTO!C$15,$L54,0)</f>
        <v>2</v>
      </c>
      <c r="C54" s="7" t="str">
        <f ca="1">OFFSET(ORÇAMENTO!L$15,$L54,0)</f>
        <v>F</v>
      </c>
      <c r="D54" s="116" t="str">
        <f ca="1">OFFSET(ORÇAMENTO!N$15,$L54,0)</f>
        <v>Nível 2</v>
      </c>
      <c r="E54" s="117" t="str">
        <f ca="1">OFFSET(ORÇAMENTO!O$15,$L54,0)</f>
        <v>1.7.</v>
      </c>
      <c r="F54" s="163" t="str">
        <f ca="1">OFFSET(ORÇAMENTO!R$15,$L54,0)</f>
        <v>LEVANTAMENTO FINAL</v>
      </c>
      <c r="G54" s="164" t="str">
        <f ca="1">IF($D54&lt;&gt;"Serviço","",OFFSET(ORÇAMENTO!S$15,$L54,0))</f>
        <v/>
      </c>
      <c r="H54" s="122" cm="1">
        <f t="array" aca="1" ref="H54" ca="1">IF($D54&lt;&gt;"Serviço",0,IF(ACOMPANHAMENTO="BM",ROUND(OFFSET(ORÇAMENTO!AJ$15,$L54,0),15-13*ORÇAMENTO!$AF$7),IF(IFERROR(CÁLCULO.FrentesPreenchidas,0)=0,0,SUM(ROUND(OFFSET($P54,0,1,1,CÁLCULO.FrentesPreenchidas),15-13*ORÇAMENTO!$AF$7)))))</f>
        <v>0</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t="str">
        <f ca="1">IF($D54&lt;&gt;"Serviço","",
          IF(AUTOEVENTO="manual",$A54,
                IF(ISERROR(MATCH($A54,$A$15:OFFSET($A54,-1,0),0)),MAX($M$15:OFFSET(M54,-1,0))+1,
                      INDEX($M$15:OFFSET(M54,-1,0),MATCH($A54,$A$15:OFFSET($A54,-1,0),0)))))</f>
        <v/>
      </c>
      <c r="N54" s="167" t="str">
        <f ca="1">IF($D54&lt;&gt;"Serviço","",
         IF(AUTOEVENTO="Manual",
                IF($A54=0,"&lt;-- defina o número do agrupador",
                       OFFSET(EVENTOS!$D$15,$A54-$A$15,0)),
                OFFSET($F$15,$A54,0)))</f>
        <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0</v>
      </c>
      <c r="AN54" s="171">
        <f ca="1">IF(OR($D54&lt;&gt;"Serviço",AND(AUTOEVENTO="Manual",$M54=$A$15)),0,
         IF(OFFSET(CRONOPLE!$F$15,$M54-$A$15,AN$13)=0,10^12,OFFSET(CRONOPLE!$F$15,$M54-$A$15,AN$13)))</f>
        <v>0</v>
      </c>
      <c r="AO54" s="171">
        <f ca="1">IF(OR($D54&lt;&gt;"Serviço",AND(AUTOEVENTO="Manual",$M54=$A$15)),0,
         IF(OFFSET(CRONOPLE!$F$15,$M54-$A$15,AO$13)=0,10^12,OFFSET(CRONOPLE!$F$15,$M54-$A$15,AO$13)))</f>
        <v>0</v>
      </c>
      <c r="AP54" s="171">
        <f ca="1">IF(OR($D54&lt;&gt;"Serviço",AND(AUTOEVENTO="Manual",$M54=$A$15)),0,
         IF(OFFSET(CRONOPLE!$F$15,$M54-$A$15,AP$13)=0,10^12,OFFSET(CRONOPLE!$F$15,$M54-$A$15,AP$13)))</f>
        <v>0</v>
      </c>
      <c r="AQ54" s="171">
        <f ca="1">IF(OR($D54&lt;&gt;"Serviço",AND(AUTOEVENTO="Manual",$M54=$A$15)),0,
         IF(OFFSET(CRONOPLE!$F$15,$M54-$A$15,AQ$13)=0,10^12,OFFSET(CRONOPLE!$F$15,$M54-$A$15,AQ$13)))</f>
        <v>0</v>
      </c>
      <c r="AR54" s="171">
        <f ca="1">IF(OR($D54&lt;&gt;"Serviço",AND(AUTOEVENTO="Manual",$M54=$A$15)),0,
         IF(OFFSET(CRONOPLE!$F$15,$M54-$A$15,AR$13)=0,10^12,OFFSET(CRONOPLE!$F$15,$M54-$A$15,AR$13)))</f>
        <v>0</v>
      </c>
      <c r="AS54" s="171">
        <f ca="1">IF(OR($D54&lt;&gt;"Serviço",AND(AUTOEVENTO="Manual",$M54=$A$15)),0,
         IF(OFFSET(CRONOPLE!$F$15,$M54-$A$15,AS$13)=0,10^12,OFFSET(CRONOPLE!$F$15,$M54-$A$15,AS$13)))</f>
        <v>0</v>
      </c>
      <c r="AT54" s="171">
        <f ca="1">IF(OR($D54&lt;&gt;"Serviço",AND(AUTOEVENTO="Manual",$M54=$A$15)),0,
         IF(OFFSET(CRONOPLE!$F$15,$M54-$A$15,AT$13)=0,10^12,OFFSET(CRONOPLE!$F$15,$M54-$A$15,AT$13)))</f>
        <v>0</v>
      </c>
      <c r="AU54" s="171">
        <f ca="1">IF(OR($D54&lt;&gt;"Serviço",AND(AUTOEVENTO="Manual",$M54=$A$15)),0,
         IF(OFFSET(CRONOPLE!$F$15,$M54-$A$15,AU$13)=0,10^12,OFFSET(CRONOPLE!$F$15,$M54-$A$15,AU$13)))</f>
        <v>0</v>
      </c>
      <c r="AV54" s="171">
        <f ca="1">IF(OR($D54&lt;&gt;"Serviço",AND(AUTOEVENTO="Manual",$M54=$A$15)),0,
         IF(OFFSET(CRONOPLE!$F$15,$M54-$A$15,AV$13)=0,10^12,OFFSET(CRONOPLE!$F$15,$M54-$A$15,AV$13)))</f>
        <v>0</v>
      </c>
      <c r="AX54" s="172" cm="1">
        <f t="array" aca="1" ref="AX54" ca="1">IF(OR($D54&lt;&gt;"Serviço",AND(AUTOEVENTO="Manual",$M54=$A$15),$M54&gt;(ROW(PLE.lastrow)-ROW(PLE.firstrow))),0,
           IF(OFFSET(PLE!$G$15,$M54-$A$15,AX$13)="",10^12,OFFSET(PLE!$G$15,$M54-$A$15,AX$13)))</f>
        <v>0</v>
      </c>
      <c r="AY54" s="172" cm="1">
        <f t="array" aca="1" ref="AY54" ca="1">IF(OR($D54&lt;&gt;"Serviço",AND(AUTOEVENTO="Manual",$M54=$A$15),$M54&gt;(ROW(PLE.lastrow)-ROW(PLE.firstrow))),0,
           IF(OFFSET(PLE!$G$15,$M54-$A$15,AY$13)="",10^12,OFFSET(PLE!$G$15,$M54-$A$15,AY$13)))</f>
        <v>0</v>
      </c>
      <c r="AZ54" s="172" cm="1">
        <f t="array" aca="1" ref="AZ54" ca="1">IF(OR($D54&lt;&gt;"Serviço",AND(AUTOEVENTO="Manual",$M54=$A$15),$M54&gt;(ROW(PLE.lastrow)-ROW(PLE.firstrow))),0,
           IF(OFFSET(PLE!$G$15,$M54-$A$15,AZ$13)="",10^12,OFFSET(PLE!$G$15,$M54-$A$15,AZ$13)))</f>
        <v>0</v>
      </c>
      <c r="BA54" s="172" cm="1">
        <f t="array" aca="1" ref="BA54" ca="1">IF(OR($D54&lt;&gt;"Serviço",AND(AUTOEVENTO="Manual",$M54=$A$15),$M54&gt;(ROW(PLE.lastrow)-ROW(PLE.firstrow))),0,
           IF(OFFSET(PLE!$G$15,$M54-$A$15,BA$13)="",10^12,OFFSET(PLE!$G$15,$M54-$A$15,BA$13)))</f>
        <v>0</v>
      </c>
      <c r="BB54" s="172" cm="1">
        <f t="array" aca="1" ref="BB54" ca="1">IF(OR($D54&lt;&gt;"Serviço",AND(AUTOEVENTO="Manual",$M54=$A$15),$M54&gt;(ROW(PLE.lastrow)-ROW(PLE.firstrow))),0,
           IF(OFFSET(PLE!$G$15,$M54-$A$15,BB$13)="",10^12,OFFSET(PLE!$G$15,$M54-$A$15,BB$13)))</f>
        <v>0</v>
      </c>
      <c r="BC54" s="172" cm="1">
        <f t="array" aca="1" ref="BC54" ca="1">IF(OR($D54&lt;&gt;"Serviço",AND(AUTOEVENTO="Manual",$M54=$A$15),$M54&gt;(ROW(PLE.lastrow)-ROW(PLE.firstrow))),0,
           IF(OFFSET(PLE!$G$15,$M54-$A$15,BC$13)="",10^12,OFFSET(PLE!$G$15,$M54-$A$15,BC$13)))</f>
        <v>0</v>
      </c>
      <c r="BD54" s="172" cm="1">
        <f t="array" aca="1" ref="BD54" ca="1">IF(OR($D54&lt;&gt;"Serviço",AND(AUTOEVENTO="Manual",$M54=$A$15),$M54&gt;(ROW(PLE.lastrow)-ROW(PLE.firstrow))),0,
           IF(OFFSET(PLE!$G$15,$M54-$A$15,BD$13)="",10^12,OFFSET(PLE!$G$15,$M54-$A$15,BD$13)))</f>
        <v>0</v>
      </c>
      <c r="BE54" s="172" cm="1">
        <f t="array" aca="1" ref="BE54" ca="1">IF(OR($D54&lt;&gt;"Serviço",AND(AUTOEVENTO="Manual",$M54=$A$15),$M54&gt;(ROW(PLE.lastrow)-ROW(PLE.firstrow))),0,
           IF(OFFSET(PLE!$G$15,$M54-$A$15,BE$13)="",10^12,OFFSET(PLE!$G$15,$M54-$A$15,BE$13)))</f>
        <v>0</v>
      </c>
      <c r="BF54" s="172" cm="1">
        <f t="array" aca="1" ref="BF54" ca="1">IF(OR($D54&lt;&gt;"Serviço",AND(AUTOEVENTO="Manual",$M54=$A$15),$M54&gt;(ROW(PLE.lastrow)-ROW(PLE.firstrow))),0,
           IF(OFFSET(PLE!$G$15,$M54-$A$15,BF$13)="",10^12,OFFSET(PLE!$G$15,$M54-$A$15,BF$13)))</f>
        <v>0</v>
      </c>
      <c r="BG54" s="172" cm="1">
        <f t="array" aca="1" ref="BG54" ca="1">IF(OR($D54&lt;&gt;"Serviço",AND(AUTOEVENTO="Manual",$M54=$A$15),$M54&gt;(ROW(PLE.lastrow)-ROW(PLE.firstrow))),0,
           IF(OFFSET(PLE!$G$15,$M54-$A$15,BG$13)="",10^12,OFFSET(PLE!$G$15,$M54-$A$15,BG$13)))</f>
        <v>0</v>
      </c>
    </row>
    <row r="55" spans="1:59" ht="51" x14ac:dyDescent="0.2">
      <c r="A55" s="7">
        <f t="shared" ca="1" si="8"/>
        <v>7</v>
      </c>
      <c r="B55" s="7" t="str">
        <f ca="1">OFFSET(ORÇAMENTO!C$15,$L55,0)</f>
        <v>S</v>
      </c>
      <c r="C55" s="7" t="str">
        <f ca="1">OFFSET(ORÇAMENTO!L$15,$L55,0)</f>
        <v>F</v>
      </c>
      <c r="D55" s="116" t="str">
        <f ca="1">OFFSET(ORÇAMENTO!N$15,$L55,0)</f>
        <v>Serviço</v>
      </c>
      <c r="E55" s="117" t="str">
        <f ca="1">OFFSET(ORÇAMENTO!O$15,$L55,0)</f>
        <v>1.7.1.</v>
      </c>
      <c r="F55" s="163" t="str">
        <f ca="1">OFFSET(ORÇAMENTO!R$15,$L55,0)</f>
        <v>LEVANTAMENTO PLANIMÉTRICO DA ÁREA PAVIMENTADA PARA VEÍCULO E PEDESTRE</v>
      </c>
      <c r="G55" s="164" t="str">
        <f ca="1">IF($D55&lt;&gt;"Serviço","",OFFSET(ORÇAMENTO!S$15,$L55,0))</f>
        <v>M2</v>
      </c>
      <c r="H55" s="122" cm="1">
        <f t="array" aca="1" ref="H55" ca="1">IF($D55&lt;&gt;"Serviço",0,IF(ACOMPANHAMENTO="BM",ROUND(OFFSET(ORÇAMENTO!AJ$15,$L55,0),15-13*ORÇAMENTO!$AF$7),IF(IFERROR(CÁLCULO.FrentesPreenchidas,0)=0,0,SUM(ROUND(OFFSET($P55,0,1,1,CÁLCULO.FrentesPreenchidas),15-13*ORÇAMENTO!$AF$7)))))</f>
        <v>10665.78</v>
      </c>
      <c r="I55" s="468" t="s">
        <v>1078</v>
      </c>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t="s">
        <v>1155</v>
      </c>
      <c r="L55" s="165">
        <f t="shared" ca="1" si="9"/>
        <v>40</v>
      </c>
      <c r="M55" s="166">
        <f ca="1">IF($D55&lt;&gt;"Serviço","",
          IF(AUTOEVENTO="manual",$A55,
                IF(ISERROR(MATCH($A55,$A$15:OFFSET($A55,-1,0),0)),MAX($M$15:OFFSET(M55,-1,0))+1,
                      INDEX($M$15:OFFSET(M55,-1,0),MATCH($A55,$A$15:OFFSET($A55,-1,0),0)))))</f>
        <v>7</v>
      </c>
      <c r="N55" s="167" t="str">
        <f ca="1">IF($D55&lt;&gt;"Serviço","",
         IF(AUTOEVENTO="Manual",
                IF($A55=0,"&lt;-- defina o número do agrupador",
                       OFFSET(EVENTOS!$D$15,$A55-$A$15,0)),
                OFFSET($F$15,$A55,0)))</f>
        <v>LEVANTAMENTO FINAL</v>
      </c>
      <c r="O55" s="168"/>
      <c r="Q55" s="168">
        <v>10665.78</v>
      </c>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3093.08</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2</v>
      </c>
      <c r="AN55" s="171">
        <f ca="1">IF(OR($D55&lt;&gt;"Serviço",AND(AUTOEVENTO="Manual",$M55=$A$15)),0,
         IF(OFFSET(CRONOPLE!$F$15,$M55-$A$15,AN$13)=0,10^12,OFFSET(CRONOPLE!$F$15,$M55-$A$15,AN$13)))</f>
        <v>2</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5.0999999999999996" customHeight="1" x14ac:dyDescent="0.2">
      <c r="B56" s="7">
        <f ca="1">OFFSET(ORÇAMENTO!C$15,ROW(B56)-ROW(B$15),0)</f>
        <v>-1</v>
      </c>
      <c r="C56" s="7" t="str">
        <f ca="1">OFFSET(ORÇAMENTO!L$15,ROW(C56)-ROW(C$15),0)</f>
        <v>F</v>
      </c>
      <c r="D56" s="634" t="s">
        <v>700</v>
      </c>
      <c r="E56" s="618"/>
      <c r="F56" s="619"/>
      <c r="G56" s="619"/>
      <c r="H56" s="619"/>
      <c r="I56" s="419"/>
      <c r="K56" s="569"/>
      <c r="L56" s="165">
        <f t="shared" ref="L56" ca="1" si="11">OFFSET(L56,-1,0)+1</f>
        <v>41</v>
      </c>
      <c r="M56" s="421"/>
      <c r="N56" s="420"/>
      <c r="O56" s="635"/>
      <c r="Q56" s="618"/>
      <c r="R56" s="619"/>
      <c r="S56" s="619"/>
      <c r="T56" s="619"/>
      <c r="U56" s="619"/>
      <c r="V56" s="619"/>
      <c r="W56" s="619"/>
      <c r="X56" s="619"/>
      <c r="Y56" s="619"/>
      <c r="Z56" s="419"/>
      <c r="AB56" s="636"/>
      <c r="AC56" s="637"/>
      <c r="AD56" s="637"/>
      <c r="AE56" s="637"/>
      <c r="AF56" s="637"/>
      <c r="AG56" s="637"/>
      <c r="AH56" s="637"/>
      <c r="AI56" s="637"/>
      <c r="AJ56" s="637"/>
      <c r="AK56" s="133"/>
      <c r="AM56" s="636"/>
      <c r="AN56" s="637"/>
      <c r="AO56" s="637"/>
      <c r="AP56" s="637"/>
      <c r="AQ56" s="637"/>
      <c r="AR56" s="637"/>
      <c r="AS56" s="637"/>
      <c r="AT56" s="637"/>
      <c r="AU56" s="637"/>
      <c r="AV56" s="133"/>
      <c r="AX56" s="636"/>
      <c r="AY56" s="637"/>
      <c r="AZ56" s="637"/>
      <c r="BA56" s="637"/>
      <c r="BB56" s="637"/>
      <c r="BC56" s="637"/>
      <c r="BD56" s="637"/>
      <c r="BE56" s="637"/>
      <c r="BF56" s="637"/>
      <c r="BG56" s="133"/>
    </row>
    <row r="57" spans="1:59" ht="12.75" customHeight="1" x14ac:dyDescent="0.2"/>
    <row r="58" spans="1:59" ht="12.75" customHeight="1" x14ac:dyDescent="0.2"/>
    <row r="59" spans="1:59" ht="12.75" customHeight="1" x14ac:dyDescent="0.2"/>
    <row r="60" spans="1:59" ht="15" customHeight="1" x14ac:dyDescent="0.2">
      <c r="F60" s="179" t="str">
        <f>Import.Município</f>
        <v>PILAR DO SUL</v>
      </c>
      <c r="I60" s="460"/>
      <c r="J60" s="460"/>
      <c r="K60" s="460"/>
      <c r="L60" s="460"/>
      <c r="M60" s="461"/>
      <c r="N60" s="417"/>
      <c r="T60" s="139"/>
      <c r="U60" s="139"/>
      <c r="V60" s="180"/>
      <c r="W60" s="180"/>
      <c r="X60" s="180"/>
      <c r="Y60" s="180"/>
    </row>
    <row r="61" spans="1:59" ht="12.75" customHeight="1" x14ac:dyDescent="0.2">
      <c r="F61" s="9" t="s">
        <v>693</v>
      </c>
      <c r="I61" s="181" t="s">
        <v>696</v>
      </c>
      <c r="J61" s="181"/>
      <c r="K61" s="181"/>
      <c r="L61" s="181"/>
      <c r="T61" s="181" t="s">
        <v>696</v>
      </c>
      <c r="U61" s="181"/>
    </row>
    <row r="62" spans="1:59" ht="12.75" customHeight="1" x14ac:dyDescent="0.2">
      <c r="I62" s="398" t="str">
        <f t="array" aca="1" ref="I62:I64" ca="1">OFFSET(Import.RespOrçamento,0,-1) &amp; " " &amp; Import.RespOrçamento</f>
        <v>Nome: EDUARDO OLIVEIRA DOS SANTOS JUNIOR</v>
      </c>
      <c r="K62" s="79"/>
      <c r="L62" s="79"/>
      <c r="T62" s="398" t="str">
        <f t="array" aca="1" ref="T62:T64" ca="1">OFFSET(Import.RespOrçamento,0,-1) &amp; " " &amp; Import.RespOrçamento</f>
        <v>Nome: EDUARDO OLIVEIRA DOS SANTOS JUNIOR</v>
      </c>
      <c r="U62" s="78"/>
    </row>
    <row r="63" spans="1:59" ht="12.75" customHeight="1" x14ac:dyDescent="0.2">
      <c r="F63" s="459">
        <f ca="1">DADOS!$C$25</f>
        <v>46142</v>
      </c>
      <c r="I63" s="398" t="str">
        <f ca="1"/>
        <v>CREA/CAU: 5069244515-SP</v>
      </c>
      <c r="K63" s="79"/>
      <c r="L63" s="79"/>
      <c r="T63" s="398" t="str">
        <f ca="1"/>
        <v>CREA/CAU: 5069244515-SP</v>
      </c>
      <c r="U63" s="78"/>
    </row>
    <row r="64" spans="1:59" ht="12.75" customHeight="1" x14ac:dyDescent="0.2">
      <c r="F64" s="140" t="s">
        <v>694</v>
      </c>
      <c r="I64" s="398" t="str">
        <f ca="1"/>
        <v>ART/RRT: 2620260743929</v>
      </c>
      <c r="K64" s="79"/>
      <c r="L64" s="79"/>
      <c r="T64" s="398" t="str">
        <f ca="1"/>
        <v>ART/RRT: 2620260743929</v>
      </c>
      <c r="U64" s="78"/>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60968" spans="3:13" ht="12.75" customHeight="1" x14ac:dyDescent="0.2">
      <c r="C60968"/>
      <c r="M60968"/>
    </row>
    <row r="60984" spans="3:13" ht="12.75" customHeight="1" x14ac:dyDescent="0.2">
      <c r="C60984"/>
      <c r="M60984"/>
    </row>
    <row r="61000" spans="3:13" ht="12.75" customHeight="1" x14ac:dyDescent="0.2">
      <c r="C61000"/>
      <c r="M61000"/>
    </row>
    <row r="61016" spans="3:13" ht="12.75" customHeight="1" x14ac:dyDescent="0.2">
      <c r="C61016"/>
      <c r="M61016"/>
    </row>
    <row r="61029" spans="3:13" ht="12.75" customHeight="1" x14ac:dyDescent="0.2">
      <c r="C61029"/>
      <c r="M61029"/>
    </row>
    <row r="61030" spans="3:13" ht="12.75" customHeight="1" x14ac:dyDescent="0.2">
      <c r="C61030"/>
      <c r="M61030"/>
    </row>
    <row r="61032" spans="3:13" ht="12.75" customHeight="1" x14ac:dyDescent="0.2">
      <c r="C61032"/>
      <c r="M61032"/>
    </row>
    <row r="61043" spans="3:13" ht="12.75" customHeight="1" x14ac:dyDescent="0.2">
      <c r="C61043"/>
      <c r="M61043"/>
    </row>
    <row r="61044" spans="3:13" ht="12.75" customHeight="1" x14ac:dyDescent="0.2">
      <c r="C61044"/>
      <c r="M61044"/>
    </row>
    <row r="61045" spans="3:13" ht="12.75" customHeight="1" x14ac:dyDescent="0.2">
      <c r="C61045"/>
      <c r="M61045"/>
    </row>
    <row r="61046" spans="3:13" ht="12.75" customHeight="1" x14ac:dyDescent="0.2">
      <c r="C61046"/>
      <c r="M61046"/>
    </row>
    <row r="61048" spans="3:13" ht="12.75" customHeight="1" x14ac:dyDescent="0.2">
      <c r="C61048"/>
      <c r="M61048"/>
    </row>
    <row r="61059" spans="3:13" ht="12.75" customHeight="1" x14ac:dyDescent="0.2">
      <c r="C61059"/>
      <c r="M61059"/>
    </row>
    <row r="61060" spans="3:13" ht="12.75" customHeight="1" x14ac:dyDescent="0.2">
      <c r="C61060"/>
      <c r="M61060"/>
    </row>
    <row r="61061" spans="3:13" ht="12.75" customHeight="1" x14ac:dyDescent="0.2">
      <c r="C61061"/>
      <c r="M61061"/>
    </row>
    <row r="61062" spans="3:13" ht="12.75" customHeight="1" x14ac:dyDescent="0.2">
      <c r="C61062"/>
      <c r="M61062"/>
    </row>
    <row r="61064" spans="3:13" ht="12.75" customHeight="1" x14ac:dyDescent="0.2">
      <c r="C61064"/>
      <c r="M61064"/>
    </row>
    <row r="61075" spans="3:13" ht="12.75" customHeight="1" x14ac:dyDescent="0.2">
      <c r="C61075"/>
      <c r="M61075"/>
    </row>
    <row r="61076" spans="3:13" ht="12.75" customHeight="1" x14ac:dyDescent="0.2">
      <c r="C61076"/>
      <c r="M61076"/>
    </row>
    <row r="61077" spans="3:13" ht="12.75" customHeight="1" x14ac:dyDescent="0.2">
      <c r="C61077"/>
      <c r="M61077"/>
    </row>
    <row r="61078" spans="3:13" ht="12.75" customHeight="1" x14ac:dyDescent="0.2">
      <c r="C61078"/>
      <c r="M61078"/>
    </row>
    <row r="61080" spans="3:13" ht="12.75" customHeight="1" x14ac:dyDescent="0.2">
      <c r="C61080"/>
      <c r="M61080"/>
    </row>
    <row r="61091" spans="3:13" ht="12.75" customHeight="1" x14ac:dyDescent="0.2">
      <c r="C61091"/>
      <c r="M61091"/>
    </row>
    <row r="61092" spans="3:13" ht="12.75" customHeight="1" x14ac:dyDescent="0.2">
      <c r="C61092"/>
      <c r="M61092"/>
    </row>
    <row r="61093" spans="3:13" ht="12.75" customHeight="1" x14ac:dyDescent="0.2">
      <c r="C61093"/>
      <c r="M61093"/>
    </row>
    <row r="61094" spans="3:13" ht="12.75" customHeight="1" x14ac:dyDescent="0.2">
      <c r="C61094"/>
      <c r="M61094"/>
    </row>
    <row r="61096" spans="3:13" ht="12.75" customHeight="1" x14ac:dyDescent="0.2">
      <c r="C61096"/>
      <c r="M61096"/>
    </row>
    <row r="61107" spans="3:13" ht="12.75" customHeight="1" x14ac:dyDescent="0.2">
      <c r="C61107"/>
      <c r="M61107"/>
    </row>
    <row r="61108" spans="3:13" ht="12.75" customHeight="1" x14ac:dyDescent="0.2">
      <c r="C61108"/>
      <c r="M61108"/>
    </row>
    <row r="61109" spans="3:13" ht="12.75" customHeight="1" x14ac:dyDescent="0.2">
      <c r="C61109"/>
      <c r="M61109"/>
    </row>
    <row r="61110" spans="3:13" ht="12.75" customHeight="1" x14ac:dyDescent="0.2">
      <c r="C61110"/>
      <c r="M61110"/>
    </row>
    <row r="61112" spans="3:13" ht="12.75" customHeight="1" x14ac:dyDescent="0.2">
      <c r="C61112"/>
      <c r="M61112"/>
    </row>
    <row r="61123" spans="3:13" ht="12.75" customHeight="1" x14ac:dyDescent="0.2">
      <c r="C61123"/>
      <c r="M61123"/>
    </row>
    <row r="61124" spans="3:13" ht="12.75" customHeight="1" x14ac:dyDescent="0.2">
      <c r="C61124"/>
      <c r="M61124"/>
    </row>
    <row r="61125" spans="3:13" ht="12.75" customHeight="1" x14ac:dyDescent="0.2">
      <c r="C61125"/>
      <c r="M61125"/>
    </row>
    <row r="61126" spans="3:13" ht="12.75" customHeight="1" x14ac:dyDescent="0.2">
      <c r="C61126"/>
      <c r="M61126"/>
    </row>
    <row r="61128" spans="3:13" ht="12.75" customHeight="1" x14ac:dyDescent="0.2">
      <c r="C61128"/>
      <c r="M61128"/>
    </row>
    <row r="61139" spans="3:13" ht="12.75" customHeight="1" x14ac:dyDescent="0.2">
      <c r="C61139"/>
      <c r="M61139"/>
    </row>
    <row r="61140" spans="3:13" ht="12.75" customHeight="1" x14ac:dyDescent="0.2">
      <c r="C61140"/>
      <c r="M61140"/>
    </row>
    <row r="61141" spans="3:13" ht="12.75" customHeight="1" x14ac:dyDescent="0.2">
      <c r="C61141"/>
      <c r="M61141"/>
    </row>
    <row r="61142" spans="3:13" ht="12.75" customHeight="1" x14ac:dyDescent="0.2">
      <c r="C61142"/>
      <c r="M61142"/>
    </row>
    <row r="61144" spans="3:13" ht="12.75" customHeight="1" x14ac:dyDescent="0.2">
      <c r="C61144"/>
      <c r="M61144"/>
    </row>
    <row r="61155" spans="3:13" ht="12.75" customHeight="1" x14ac:dyDescent="0.2">
      <c r="C61155"/>
      <c r="M61155"/>
    </row>
    <row r="61156" spans="3:13" ht="12.75" customHeight="1" x14ac:dyDescent="0.2">
      <c r="C61156"/>
      <c r="M61156"/>
    </row>
    <row r="61157" spans="3:13" ht="12.75" customHeight="1" x14ac:dyDescent="0.2">
      <c r="C61157"/>
      <c r="M61157"/>
    </row>
    <row r="61158" spans="3:13" ht="12.75" customHeight="1" x14ac:dyDescent="0.2">
      <c r="C61158"/>
      <c r="M61158"/>
    </row>
    <row r="61160" spans="3:13" ht="12.75" customHeight="1" x14ac:dyDescent="0.2">
      <c r="C61160"/>
      <c r="M61160"/>
    </row>
    <row r="61168" spans="3:13" ht="12.75" customHeight="1" x14ac:dyDescent="0.2">
      <c r="C61168"/>
      <c r="M61168"/>
    </row>
    <row r="61171" spans="3:13" ht="12.75" customHeight="1" x14ac:dyDescent="0.2">
      <c r="C61171"/>
      <c r="M61171"/>
    </row>
    <row r="61172" spans="3:13" ht="12.75" customHeight="1" x14ac:dyDescent="0.2">
      <c r="C61172"/>
      <c r="M61172"/>
    </row>
    <row r="61173" spans="3:13" ht="12.75" customHeight="1" x14ac:dyDescent="0.2">
      <c r="C61173"/>
      <c r="M61173"/>
    </row>
    <row r="61174" spans="3:13" ht="12.75" customHeight="1" x14ac:dyDescent="0.2">
      <c r="C61174"/>
      <c r="M61174"/>
    </row>
    <row r="61176" spans="3:13" ht="12.75" customHeight="1" x14ac:dyDescent="0.2">
      <c r="C61176"/>
      <c r="M61176"/>
    </row>
    <row r="61184" spans="3:13" ht="12.75" customHeight="1" x14ac:dyDescent="0.2">
      <c r="C61184"/>
      <c r="M61184"/>
    </row>
    <row r="61187" spans="3:13" ht="12.75" customHeight="1" x14ac:dyDescent="0.2">
      <c r="C61187"/>
      <c r="M61187"/>
    </row>
    <row r="61188" spans="3:13" ht="12.75" customHeight="1" x14ac:dyDescent="0.2">
      <c r="C61188"/>
      <c r="M61188"/>
    </row>
    <row r="61189" spans="3:13" ht="12.75" customHeight="1" x14ac:dyDescent="0.2">
      <c r="C61189"/>
      <c r="M61189"/>
    </row>
    <row r="61190" spans="3:13" ht="12.75" customHeight="1" x14ac:dyDescent="0.2">
      <c r="C61190"/>
      <c r="M61190"/>
    </row>
    <row r="61192" spans="3:13" ht="12.75" customHeight="1" x14ac:dyDescent="0.2">
      <c r="C61192"/>
      <c r="M61192"/>
    </row>
    <row r="61200" spans="3:13" ht="12.75" customHeight="1" x14ac:dyDescent="0.2">
      <c r="C61200"/>
      <c r="M61200"/>
    </row>
    <row r="61201" spans="3:13" ht="12.75" customHeight="1" x14ac:dyDescent="0.2">
      <c r="C61201"/>
      <c r="M61201"/>
    </row>
    <row r="61203" spans="3:13" ht="12.75" customHeight="1" x14ac:dyDescent="0.2">
      <c r="C61203"/>
      <c r="M61203"/>
    </row>
    <row r="61204" spans="3:13" ht="12.75" customHeight="1" x14ac:dyDescent="0.2">
      <c r="C61204"/>
      <c r="M61204"/>
    </row>
    <row r="61205" spans="3:13" ht="12.75" customHeight="1" x14ac:dyDescent="0.2">
      <c r="C61205"/>
      <c r="M61205"/>
    </row>
    <row r="61206" spans="3:13" ht="12.75" customHeight="1" x14ac:dyDescent="0.2">
      <c r="C61206"/>
      <c r="M61206"/>
    </row>
    <row r="61208" spans="3:13" ht="12.75" customHeight="1" x14ac:dyDescent="0.2">
      <c r="C61208"/>
      <c r="M61208"/>
    </row>
    <row r="61216" spans="3:13" ht="12.75" customHeight="1" x14ac:dyDescent="0.2">
      <c r="C61216"/>
      <c r="M61216"/>
    </row>
    <row r="61217" spans="3:13" ht="12.75" customHeight="1" x14ac:dyDescent="0.2">
      <c r="C61217"/>
      <c r="M61217"/>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2" spans="3:13" ht="12.75" customHeight="1" x14ac:dyDescent="0.2">
      <c r="C61222"/>
      <c r="M61222"/>
    </row>
    <row r="61224" spans="3:13" ht="12.75" customHeight="1" x14ac:dyDescent="0.2">
      <c r="C61224"/>
      <c r="M61224"/>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40" spans="3:13" ht="12.75" customHeight="1" x14ac:dyDescent="0.2">
      <c r="C61240"/>
      <c r="M61240"/>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sheetData>
  <sheetProtection algorithmName="SHA-512" hashValue="GAs20zLgnjjix6Dm7p0aJZ7tboD2OgT1f0UX23R3s6sr0Z47uCOZVmj9w6rAkfkK3HTgYB5uj6SsP551A/diGQ==" saltValue="3wqOINolPlSNEsTJ0UGlGA==" spinCount="100000" sheet="1" objects="1" scenarios="1" autoFilter="0"/>
  <autoFilter ref="C15:C56"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9:G19 I19 D51:I55 D16:I18">
    <cfRule type="expression" dxfId="264" priority="14675" stopIfTrue="1">
      <formula>$B14=1</formula>
    </cfRule>
    <cfRule type="expression" dxfId="263" priority="14676" stopIfTrue="1">
      <formula>OR($B14=0,$B14=2,$B14=3,$B14=4)</formula>
    </cfRule>
  </conditionalFormatting>
  <conditionalFormatting sqref="M12:N56">
    <cfRule type="expression" dxfId="262" priority="14677" stopIfTrue="1">
      <formula>ACOMPANHAMENTO="BM"</formula>
    </cfRule>
    <cfRule type="expression" dxfId="261" priority="14678" stopIfTrue="1">
      <formula>OR($B12=0,$B12=2,$B12=3,$B12=4)</formula>
    </cfRule>
    <cfRule type="expression" dxfId="260" priority="14679" stopIfTrue="1">
      <formula>$B12=1</formula>
    </cfRule>
  </conditionalFormatting>
  <conditionalFormatting sqref="K12:K56">
    <cfRule type="expression" dxfId="259" priority="14680" stopIfTrue="1">
      <formula>OR(ACOMPANHAMENTO="BM",$A$12&lt;&gt;"Manual")</formula>
    </cfRule>
    <cfRule type="expression" dxfId="258" priority="14681" stopIfTrue="1">
      <formula>$B12=1</formula>
    </cfRule>
    <cfRule type="expression" dxfId="257" priority="14682" stopIfTrue="1">
      <formula>OR($B12=2,$B12=3,$B12=4,$B12=0)</formula>
    </cfRule>
  </conditionalFormatting>
  <conditionalFormatting sqref="O12:AA56">
    <cfRule type="expression" dxfId="256" priority="8266" stopIfTrue="1">
      <formula>ACOMPANHAMENTO="BM"</formula>
    </cfRule>
    <cfRule type="expression" dxfId="255" priority="14684" stopIfTrue="1">
      <formula>AND(O$12&lt;&gt;".",OR($B12=0,$B12=2,$B12=3,$B12=4,AND(O$12="",$B12&lt;&gt;"Empty"),OFFSET(O$1,0,-1)=0))</formula>
    </cfRule>
    <cfRule type="expression" dxfId="254" priority="14685" stopIfTrue="1">
      <formula>AND($B12=1,O$1=1)</formula>
    </cfRule>
  </conditionalFormatting>
  <conditionalFormatting sqref="Q15:Z15">
    <cfRule type="expression" dxfId="253" priority="14683">
      <formula>Q$11="▼"</formula>
    </cfRule>
  </conditionalFormatting>
  <conditionalFormatting sqref="O15">
    <cfRule type="expression" dxfId="252" priority="8265">
      <formula>O$11="▼"</formula>
    </cfRule>
  </conditionalFormatting>
  <conditionalFormatting sqref="N14 N51:N55 N16:N19">
    <cfRule type="expression" dxfId="251" priority="5300">
      <formula>$J14="►"</formula>
    </cfRule>
  </conditionalFormatting>
  <conditionalFormatting sqref="N12">
    <cfRule type="cellIs" dxfId="250" priority="5298" operator="notEqual">
      <formula>"FRENTES DE OBRA:"</formula>
    </cfRule>
  </conditionalFormatting>
  <conditionalFormatting sqref="Q14:AA14 Q54:AA55 Q16:AA19">
    <cfRule type="expression" dxfId="249" priority="3083">
      <formula>Q14&lt;&gt;ROUND(Q14,2)</formula>
    </cfRule>
  </conditionalFormatting>
  <conditionalFormatting sqref="H14">
    <cfRule type="expression" dxfId="248" priority="2643" stopIfTrue="1">
      <formula>$B14=1</formula>
    </cfRule>
    <cfRule type="expression" dxfId="247" priority="2644" stopIfTrue="1">
      <formula>OR($B14=0,$B14=2,$B14=3,$B14=4)</formula>
    </cfRule>
  </conditionalFormatting>
  <conditionalFormatting sqref="H14 H51:H55 H16:H19">
    <cfRule type="expression" dxfId="246" priority="2642">
      <formula>$J14="►S"</formula>
    </cfRule>
  </conditionalFormatting>
  <conditionalFormatting sqref="D20:G20 I20 I33:I35 D33:G35 I23:I27 D23:G27">
    <cfRule type="expression" dxfId="245" priority="232" stopIfTrue="1">
      <formula>$B20=1</formula>
    </cfRule>
    <cfRule type="expression" dxfId="244" priority="233" stopIfTrue="1">
      <formula>OR($B20=0,$B20=2,$B20=3,$B20=4)</formula>
    </cfRule>
  </conditionalFormatting>
  <conditionalFormatting sqref="N20 N33:N35 N23:N27">
    <cfRule type="expression" dxfId="243" priority="231">
      <formula>$J20="►"</formula>
    </cfRule>
  </conditionalFormatting>
  <conditionalFormatting sqref="Q20:AA20 Q33:AA35 Q23:AA27">
    <cfRule type="expression" dxfId="242" priority="230">
      <formula>Q20&lt;&gt;ROUND(Q20,2)</formula>
    </cfRule>
  </conditionalFormatting>
  <conditionalFormatting sqref="H20 H33:H35 H23:H27">
    <cfRule type="expression" dxfId="241" priority="228" stopIfTrue="1">
      <formula>$B20=1</formula>
    </cfRule>
    <cfRule type="expression" dxfId="240" priority="229" stopIfTrue="1">
      <formula>OR($B20=0,$B20=2,$B20=3,$B20=4)</formula>
    </cfRule>
  </conditionalFormatting>
  <conditionalFormatting sqref="H20 H33:H35 H23:H27">
    <cfRule type="expression" dxfId="239" priority="227">
      <formula>$J20="►S"</formula>
    </cfRule>
  </conditionalFormatting>
  <conditionalFormatting sqref="D37:G38 I37:I38 I44:I50 D44:G50">
    <cfRule type="expression" dxfId="238" priority="225" stopIfTrue="1">
      <formula>$B37=1</formula>
    </cfRule>
    <cfRule type="expression" dxfId="237" priority="226" stopIfTrue="1">
      <formula>OR($B37=0,$B37=2,$B37=3,$B37=4)</formula>
    </cfRule>
  </conditionalFormatting>
  <conditionalFormatting sqref="N37:N38 N44:N50">
    <cfRule type="expression" dxfId="236" priority="224">
      <formula>$J37="►"</formula>
    </cfRule>
  </conditionalFormatting>
  <conditionalFormatting sqref="Q37:AA38 Q44:AA50">
    <cfRule type="expression" dxfId="235" priority="223">
      <formula>Q37&lt;&gt;ROUND(Q37,2)</formula>
    </cfRule>
  </conditionalFormatting>
  <conditionalFormatting sqref="H37:H38 H44:H50">
    <cfRule type="expression" dxfId="234" priority="221" stopIfTrue="1">
      <formula>$B37=1</formula>
    </cfRule>
    <cfRule type="expression" dxfId="233" priority="222" stopIfTrue="1">
      <formula>OR($B37=0,$B37=2,$B37=3,$B37=4)</formula>
    </cfRule>
  </conditionalFormatting>
  <conditionalFormatting sqref="H37:H38 H44:H50">
    <cfRule type="expression" dxfId="232" priority="220">
      <formula>$J37="►S"</formula>
    </cfRule>
  </conditionalFormatting>
  <conditionalFormatting sqref="Q51:AA53">
    <cfRule type="expression" dxfId="231" priority="216">
      <formula>Q51&lt;&gt;ROUND(Q51,2)</formula>
    </cfRule>
  </conditionalFormatting>
  <conditionalFormatting sqref="H19">
    <cfRule type="expression" dxfId="230" priority="43" stopIfTrue="1">
      <formula>$B19=1</formula>
    </cfRule>
    <cfRule type="expression" dxfId="229" priority="44" stopIfTrue="1">
      <formula>OR($B19=0,$B19=2,$B19=3,$B19=4)</formula>
    </cfRule>
  </conditionalFormatting>
  <conditionalFormatting sqref="D28:G28 I28">
    <cfRule type="expression" dxfId="228" priority="41" stopIfTrue="1">
      <formula>$B28=1</formula>
    </cfRule>
    <cfRule type="expression" dxfId="227" priority="42" stopIfTrue="1">
      <formula>OR($B28=0,$B28=2,$B28=3,$B28=4)</formula>
    </cfRule>
  </conditionalFormatting>
  <conditionalFormatting sqref="N28">
    <cfRule type="expression" dxfId="226" priority="40">
      <formula>$J28="►"</formula>
    </cfRule>
  </conditionalFormatting>
  <conditionalFormatting sqref="Q28:AA28">
    <cfRule type="expression" dxfId="225" priority="39">
      <formula>Q28&lt;&gt;ROUND(Q28,2)</formula>
    </cfRule>
  </conditionalFormatting>
  <conditionalFormatting sqref="H28">
    <cfRule type="expression" dxfId="224" priority="37" stopIfTrue="1">
      <formula>$B28=1</formula>
    </cfRule>
    <cfRule type="expression" dxfId="223" priority="38" stopIfTrue="1">
      <formula>OR($B28=0,$B28=2,$B28=3,$B28=4)</formula>
    </cfRule>
  </conditionalFormatting>
  <conditionalFormatting sqref="H28">
    <cfRule type="expression" dxfId="222" priority="36">
      <formula>$J28="►S"</formula>
    </cfRule>
  </conditionalFormatting>
  <conditionalFormatting sqref="D29:G32 I29:I32">
    <cfRule type="expression" dxfId="221" priority="34" stopIfTrue="1">
      <formula>$B29=1</formula>
    </cfRule>
    <cfRule type="expression" dxfId="220" priority="35" stopIfTrue="1">
      <formula>OR($B29=0,$B29=2,$B29=3,$B29=4)</formula>
    </cfRule>
  </conditionalFormatting>
  <conditionalFormatting sqref="N29:N32">
    <cfRule type="expression" dxfId="219" priority="33">
      <formula>$J29="►"</formula>
    </cfRule>
  </conditionalFormatting>
  <conditionalFormatting sqref="Q29:AA32">
    <cfRule type="expression" dxfId="218" priority="32">
      <formula>Q29&lt;&gt;ROUND(Q29,2)</formula>
    </cfRule>
  </conditionalFormatting>
  <conditionalFormatting sqref="H29:H32">
    <cfRule type="expression" dxfId="217" priority="30" stopIfTrue="1">
      <formula>$B29=1</formula>
    </cfRule>
    <cfRule type="expression" dxfId="216" priority="31" stopIfTrue="1">
      <formula>OR($B29=0,$B29=2,$B29=3,$B29=4)</formula>
    </cfRule>
  </conditionalFormatting>
  <conditionalFormatting sqref="H29:H32">
    <cfRule type="expression" dxfId="215" priority="29">
      <formula>$J29="►S"</formula>
    </cfRule>
  </conditionalFormatting>
  <conditionalFormatting sqref="D39:G43 I39:I43">
    <cfRule type="expression" dxfId="214" priority="27" stopIfTrue="1">
      <formula>$B39=1</formula>
    </cfRule>
    <cfRule type="expression" dxfId="213" priority="28" stopIfTrue="1">
      <formula>OR($B39=0,$B39=2,$B39=3,$B39=4)</formula>
    </cfRule>
  </conditionalFormatting>
  <conditionalFormatting sqref="N39:N43">
    <cfRule type="expression" dxfId="212" priority="26">
      <formula>$J39="►"</formula>
    </cfRule>
  </conditionalFormatting>
  <conditionalFormatting sqref="Q39:AA43">
    <cfRule type="expression" dxfId="211" priority="25">
      <formula>Q39&lt;&gt;ROUND(Q39,2)</formula>
    </cfRule>
  </conditionalFormatting>
  <conditionalFormatting sqref="H39:H43">
    <cfRule type="expression" dxfId="210" priority="23" stopIfTrue="1">
      <formula>$B39=1</formula>
    </cfRule>
    <cfRule type="expression" dxfId="209" priority="24" stopIfTrue="1">
      <formula>OR($B39=0,$B39=2,$B39=3,$B39=4)</formula>
    </cfRule>
  </conditionalFormatting>
  <conditionalFormatting sqref="H39:H43">
    <cfRule type="expression" dxfId="208" priority="22">
      <formula>$J39="►S"</formula>
    </cfRule>
  </conditionalFormatting>
  <conditionalFormatting sqref="D36:G36 I36">
    <cfRule type="expression" dxfId="207" priority="20" stopIfTrue="1">
      <formula>$B36=1</formula>
    </cfRule>
    <cfRule type="expression" dxfId="206" priority="21" stopIfTrue="1">
      <formula>OR($B36=0,$B36=2,$B36=3,$B36=4)</formula>
    </cfRule>
  </conditionalFormatting>
  <conditionalFormatting sqref="N36">
    <cfRule type="expression" dxfId="205" priority="19">
      <formula>$J36="►"</formula>
    </cfRule>
  </conditionalFormatting>
  <conditionalFormatting sqref="Q36:AA36">
    <cfRule type="expression" dxfId="204" priority="18">
      <formula>Q36&lt;&gt;ROUND(Q36,2)</formula>
    </cfRule>
  </conditionalFormatting>
  <conditionalFormatting sqref="H36">
    <cfRule type="expression" dxfId="203" priority="16" stopIfTrue="1">
      <formula>$B36=1</formula>
    </cfRule>
    <cfRule type="expression" dxfId="202" priority="17" stopIfTrue="1">
      <formula>OR($B36=0,$B36=2,$B36=3,$B36=4)</formula>
    </cfRule>
  </conditionalFormatting>
  <conditionalFormatting sqref="H36">
    <cfRule type="expression" dxfId="201" priority="15">
      <formula>$J36="►S"</formula>
    </cfRule>
  </conditionalFormatting>
  <conditionalFormatting sqref="D21:G21 I21">
    <cfRule type="expression" dxfId="200" priority="13" stopIfTrue="1">
      <formula>$B21=1</formula>
    </cfRule>
    <cfRule type="expression" dxfId="199" priority="14" stopIfTrue="1">
      <formula>OR($B21=0,$B21=2,$B21=3,$B21=4)</formula>
    </cfRule>
  </conditionalFormatting>
  <conditionalFormatting sqref="N21">
    <cfRule type="expression" dxfId="198" priority="12">
      <formula>$J21="►"</formula>
    </cfRule>
  </conditionalFormatting>
  <conditionalFormatting sqref="Q21:AA21">
    <cfRule type="expression" dxfId="197" priority="11">
      <formula>Q21&lt;&gt;ROUND(Q21,2)</formula>
    </cfRule>
  </conditionalFormatting>
  <conditionalFormatting sqref="H21">
    <cfRule type="expression" dxfId="196" priority="9" stopIfTrue="1">
      <formula>$B21=1</formula>
    </cfRule>
    <cfRule type="expression" dxfId="195" priority="10" stopIfTrue="1">
      <formula>OR($B21=0,$B21=2,$B21=3,$B21=4)</formula>
    </cfRule>
  </conditionalFormatting>
  <conditionalFormatting sqref="H21">
    <cfRule type="expression" dxfId="194" priority="8">
      <formula>$J21="►S"</formula>
    </cfRule>
  </conditionalFormatting>
  <conditionalFormatting sqref="D22:G22 I22">
    <cfRule type="expression" dxfId="193" priority="6" stopIfTrue="1">
      <formula>$B22=1</formula>
    </cfRule>
    <cfRule type="expression" dxfId="192" priority="7" stopIfTrue="1">
      <formula>OR($B22=0,$B22=2,$B22=3,$B22=4)</formula>
    </cfRule>
  </conditionalFormatting>
  <conditionalFormatting sqref="N22">
    <cfRule type="expression" dxfId="191" priority="5">
      <formula>$J22="►"</formula>
    </cfRule>
  </conditionalFormatting>
  <conditionalFormatting sqref="Q22:AA22">
    <cfRule type="expression" dxfId="190" priority="4">
      <formula>Q22&lt;&gt;ROUND(Q22,2)</formula>
    </cfRule>
  </conditionalFormatting>
  <conditionalFormatting sqref="H22">
    <cfRule type="expression" dxfId="189" priority="2" stopIfTrue="1">
      <formula>$B22=1</formula>
    </cfRule>
    <cfRule type="expression" dxfId="188" priority="3" stopIfTrue="1">
      <formula>OR($B22=0,$B22=2,$B22=3,$B22=4)</formula>
    </cfRule>
  </conditionalFormatting>
  <conditionalFormatting sqref="H22">
    <cfRule type="expression" dxfId="187" priority="1">
      <formula>$J22="►S"</formula>
    </cfRule>
  </conditionalFormatting>
  <dataValidations xWindow="1070" yWindow="690" count="4">
    <dataValidation type="decimal" operator="greaterThan" allowBlank="1" showErrorMessage="1" error="Apenas números decimais maiores que zero." sqref="O14 Q14:Z14 O16:O55 Q16:Z55"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5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55"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7"/>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IF(AUTOEVENTO="Manual",IF(EVENTOS!$F1&gt;0,"F",""),IF(AND(B1&gt;0,B1&lt;=MAX(CÁLCULO!$M$15:$M$56)),"F",""))</f>
        <v>#REF!</v>
      </c>
      <c r="B1" s="247" t="e">
        <f ca="1">OFFSET(B1,-1,0)+1</f>
        <v>#REF!</v>
      </c>
      <c r="C1" s="514" t="e">
        <f ca="1">IF(AUTOEVENTO="Manual",IF($B1&gt;0,OFFSET(EVENTOS!$D$15,$B1-$B$15,0),0),IF(B1&lt;=MAX(CÁLCULO!$M$15:$M$56),VLOOKUP($B1,CÁLCULO!$M$15:$N$56,2,FALSE),0))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62" t="s">
        <v>757</v>
      </c>
      <c r="AD2" s="763"/>
      <c r="AE2" s="764"/>
    </row>
    <row r="3" spans="1:31" ht="12.75" customHeight="1" x14ac:dyDescent="0.2">
      <c r="G3" s="82"/>
      <c r="AD3" s="483"/>
      <c r="AE3" s="483"/>
    </row>
    <row r="4" spans="1:31" ht="12.75" customHeight="1" x14ac:dyDescent="0.2">
      <c r="B4" s="679" t="s">
        <v>652</v>
      </c>
      <c r="C4" s="679"/>
      <c r="D4" s="679"/>
      <c r="G4" s="733" t="s">
        <v>650</v>
      </c>
      <c r="H4" s="733"/>
      <c r="I4" s="733"/>
      <c r="J4" s="733" t="s">
        <v>707</v>
      </c>
      <c r="K4" s="733"/>
      <c r="L4" s="733"/>
      <c r="M4" s="208" t="s">
        <v>758</v>
      </c>
      <c r="N4" s="212"/>
      <c r="P4" s="186"/>
      <c r="Q4" s="186"/>
      <c r="R4" s="186"/>
      <c r="U4" s="484"/>
      <c r="V4" s="186"/>
      <c r="W4" s="186"/>
      <c r="X4" s="186"/>
      <c r="Y4" s="186"/>
      <c r="AD4" s="483"/>
      <c r="AE4" s="485"/>
    </row>
    <row r="5" spans="1:31" ht="12.75" customHeight="1" x14ac:dyDescent="0.2">
      <c r="B5" s="682" t="str">
        <f>Import.Proponente</f>
        <v>PREFEITURA MUNICIPAL DE PILAR DO SUL</v>
      </c>
      <c r="C5" s="682"/>
      <c r="D5" s="682"/>
      <c r="G5" s="731" t="str">
        <f>Import.CR</f>
        <v>1101329-56</v>
      </c>
      <c r="H5" s="731"/>
      <c r="I5" s="731"/>
      <c r="J5" s="731" t="str">
        <f>Import.SICONV</f>
        <v>11213/2025</v>
      </c>
      <c r="K5" s="731"/>
      <c r="L5" s="731"/>
      <c r="M5" s="743" t="str">
        <f>Import.Apelido</f>
        <v>INFRAESTRUTURA URBANA COM RECUPERAÇÃO, DRENAGEM E RECAPEAMENTO ASFÁLTICO RUAS DO MUNICÍPIO DE PILAR DO SUL</v>
      </c>
      <c r="N5" s="744"/>
      <c r="O5" s="744"/>
      <c r="P5" s="744"/>
      <c r="Q5" s="744"/>
      <c r="R5" s="744"/>
      <c r="S5" s="744"/>
      <c r="T5" s="744"/>
      <c r="U5" s="744"/>
      <c r="V5" s="744"/>
      <c r="W5" s="744"/>
      <c r="X5" s="744"/>
      <c r="Y5" s="744"/>
      <c r="Z5" s="744"/>
      <c r="AA5" s="744"/>
      <c r="AB5" s="744"/>
      <c r="AC5" s="744"/>
      <c r="AD5" s="744"/>
      <c r="AE5" s="765"/>
    </row>
    <row r="6" spans="1:31" ht="14.25" customHeight="1" x14ac:dyDescent="0.25">
      <c r="B6" s="249" t="str" cm="1">
        <f t="array" aca="1" ref="B6" ca="1">IF(ACOMPANHAMENTO="BM","NO ACOMPANHAMENTO POR BM, UTILIZE A ABA CRONO",
  IF(MAX($B$14:$B$23)&lt;MAX(CÁLCULO!$M$15:$M$56),"ERRO: NÚMERO DE EVENTOS INSUFICIENTE, CLIQUE EM ATUALIZAR LINHAS",
  IF(ROUND(OFFSET(CRONO!$AG$48,0,-1),2)&lt;&gt;CRONO!$R$39,"ERRO: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v>
      </c>
      <c r="B8" s="739" t="s">
        <v>1079</v>
      </c>
      <c r="C8" s="740"/>
      <c r="D8" s="571" t="str">
        <f ca="1">IF($B$7="","",IF(AND($B$15=0,$B$8=""),"◄ Não foi indicado o Evento de Administração Local",IF(ISERROR(MATCH(Import.EventoAdmLocal,$F$15:$F$23,0)),"◄ Selecione um Título de Evento válido para a Administração Local","")))</f>
        <v>◄ Selecione um Título de Evento válido para a Administração Local</v>
      </c>
    </row>
    <row r="9" spans="1:31" ht="3.95" customHeight="1" x14ac:dyDescent="0.2">
      <c r="A9" s="548"/>
    </row>
    <row r="10" spans="1:31" ht="15" customHeight="1" x14ac:dyDescent="0.2">
      <c r="A10" s="548">
        <f ca="1">MATCH(VALUE(A8),CÁLCULO!$M$15:$M$56,0)-2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f ca="1">IF(E$12&gt;CÁLCULO.FrentesPreenchidas,"",OFFSET(CÁLCULO!$P$12,0,E$12))</f>
        <v>1</v>
      </c>
      <c r="G11" s="252">
        <f ca="1">IF(G$12&gt;CÁLCULO.FrentesPreenchidas,"",OFFSET(CÁLCULO!$P$12,0,G$12))</f>
        <v>1</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70" t="s">
        <v>760</v>
      </c>
      <c r="C12" s="770"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70"/>
      <c r="C13" s="770"/>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IF(AUTOEVENTO="Manual",IF(EVENTOS!$F15&gt;0,"F",""),IF(AND(B15&gt;0,B15&lt;=MAX(CÁLCULO!$M$15:$M$56)),"F",""))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IF(AUTOEVENTO="Manual",IF(EVENTOS!$F16&gt;0,"F",""),IF(AND(B16&gt;0,B16&lt;=MAX(CÁLCULO!$M$15:$M$56)),"F",""))</f>
        <v>F</v>
      </c>
      <c r="B16" s="247">
        <f t="shared" ref="B16:B22" ca="1" si="1">OFFSET(B16,-1,0)+1</f>
        <v>1</v>
      </c>
      <c r="C16" s="514" t="str">
        <f ca="1">IF(AUTOEVENTO="Manual",IF($B16&gt;0,OFFSET(EVENTOS!$D$15,$B16-$B$15,0),0),IF(B16&lt;=MAX(CÁLCULO!$M$15:$M$56),VLOOKUP($B16,CÁLCULO!$M$15:$N$56,2,FALSE),0))</f>
        <v>SERVIÇOS PRELIMINARES ETAPA 1</v>
      </c>
      <c r="D16" s="554"/>
      <c r="E16" s="248"/>
      <c r="F16" t="str">
        <f t="shared" ref="F16:F22" ca="1" si="2">IF($C16=0,"",CONCATENATE($B16,". ",$C16))</f>
        <v>1. SERVIÇOS PRELIMINARES ETAPA 1</v>
      </c>
      <c r="G16" s="553">
        <v>1</v>
      </c>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IF(AUTOEVENTO="Manual",IF(EVENTOS!$F17&gt;0,"F",""),IF(AND(B17&gt;0,B17&lt;=MAX(CÁLCULO!$M$15:$M$56)),"F",""))</f>
        <v>F</v>
      </c>
      <c r="B17" s="247">
        <f ca="1">OFFSET(B17,-1,0)+1</f>
        <v>2</v>
      </c>
      <c r="C17" s="514" t="str">
        <f ca="1">IF(AUTOEVENTO="Manual",IF($B17&gt;0,OFFSET(EVENTOS!$D$15,$B17-$B$15,0),0),IF(B17&lt;=MAX(CÁLCULO!$M$15:$M$56),VLOOKUP($B17,CÁLCULO!$M$15:$N$56,2,FALSE),0))</f>
        <v>SERVIÇOS PRELIMINARES ETAPA 2</v>
      </c>
      <c r="D17" s="554"/>
      <c r="E17" s="248"/>
      <c r="F17" t="str">
        <f ca="1">IF($C17=0,"",CONCATENATE($B17,". ",$C17))</f>
        <v>2. SERVIÇOS PRELIMINARES ETAPA 2</v>
      </c>
      <c r="G17" s="553">
        <v>2</v>
      </c>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IF(AUTOEVENTO="Manual",IF(EVENTOS!$F18&gt;0,"F",""),IF(AND(B18&gt;0,B18&lt;=MAX(CÁLCULO!$M$15:$M$56)),"F",""))</f>
        <v>F</v>
      </c>
      <c r="B18" s="247">
        <f t="shared" ca="1" si="1"/>
        <v>3</v>
      </c>
      <c r="C18" s="514" t="str">
        <f ca="1">IF(AUTOEVENTO="Manual",IF($B18&gt;0,OFFSET(EVENTOS!$D$15,$B18-$B$15,0),0),IF(B18&lt;=MAX(CÁLCULO!$M$15:$M$56),VLOOKUP($B18,CÁLCULO!$M$15:$N$56,2,FALSE),0))</f>
        <v>DRENAGEM</v>
      </c>
      <c r="D18" s="554"/>
      <c r="E18" s="248"/>
      <c r="F18" t="str">
        <f t="shared" ca="1" si="2"/>
        <v>3. DRENAGEM</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IF(AUTOEVENTO="Manual",IF(EVENTOS!$F19&gt;0,"F",""),IF(AND(B19&gt;0,B19&lt;=MAX(CÁLCULO!$M$15:$M$56)),"F",""))</f>
        <v>F</v>
      </c>
      <c r="B19" s="247">
        <f t="shared" ca="1" si="1"/>
        <v>4</v>
      </c>
      <c r="C19" s="514" t="str">
        <f ca="1">IF(AUTOEVENTO="Manual",IF($B19&gt;0,OFFSET(EVENTOS!$D$15,$B19-$B$15,0),0),IF(B19&lt;=MAX(CÁLCULO!$M$15:$M$56),VLOOKUP($B19,CÁLCULO!$M$15:$N$56,2,FALSE),0))</f>
        <v>RECAPEAMENTO/RECUPERAÇÃO/PAVIMENTAÇÃO ASFÁLTICA - TRECHO DA RUA MARCOLINO GOMES DE OLIVEIRA</v>
      </c>
      <c r="D19" s="554"/>
      <c r="E19" s="248"/>
      <c r="F19" t="str">
        <f t="shared" ca="1" si="2"/>
        <v>4. RECAPEAMENTO/RECUPERAÇÃO/PAVIMENTAÇÃO ASFÁLTICA - TRECHO DA RUA MARCOLINO GOMES DE OLIVEIRA</v>
      </c>
      <c r="G19" s="553">
        <v>2</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IF(AUTOEVENTO="Manual",IF(EVENTOS!$F20&gt;0,"F",""),IF(AND(B20&gt;0,B20&lt;=MAX(CÁLCULO!$M$15:$M$56)),"F",""))</f>
        <v>F</v>
      </c>
      <c r="B20" s="247">
        <f t="shared" ca="1" si="1"/>
        <v>5</v>
      </c>
      <c r="C20" s="514" t="str">
        <f ca="1">IF(AUTOEVENTO="Manual",IF($B20&gt;0,OFFSET(EVENTOS!$D$15,$B20-$B$15,0),0),IF(B20&lt;=MAX(CÁLCULO!$M$15:$M$56),VLOOKUP($B20,CÁLCULO!$M$15:$N$56,2,FALSE),0))</f>
        <v>RECAPEAMENTO/RECUPERAÇÃO ASFÁLTICA - TRECHO DA RUA ANTÔNIO BANEDITO DE OLIVEIRA</v>
      </c>
      <c r="D20" s="554"/>
      <c r="E20" s="248"/>
      <c r="F20" t="str">
        <f t="shared" ca="1" si="2"/>
        <v>5. RECAPEAMENTO/RECUPERAÇÃO ASFÁLTICA - TRECHO DA RUA ANTÔNIO BANEDITO DE OLIVEIRA</v>
      </c>
      <c r="G20" s="553">
        <v>2</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IF(AUTOEVENTO="Manual",IF(EVENTOS!$F21&gt;0,"F",""),IF(AND(B21&gt;0,B21&lt;=MAX(CÁLCULO!$M$15:$M$56)),"F",""))</f>
        <v>F</v>
      </c>
      <c r="B21" s="247">
        <f t="shared" ca="1" si="1"/>
        <v>6</v>
      </c>
      <c r="C21" s="514" t="str">
        <f ca="1">IF(AUTOEVENTO="Manual",IF($B21&gt;0,OFFSET(EVENTOS!$D$15,$B21-$B$15,0),0),IF(B21&lt;=MAX(CÁLCULO!$M$15:$M$56),VLOOKUP($B21,CÁLCULO!$M$15:$N$56,2,FALSE),0))</f>
        <v>RECAPEAMENTO/RECUPERAÇÃO ASFÁLTICA - TRECHO DA RUA ANTÔNIO MORAES ROSA</v>
      </c>
      <c r="D21" s="554"/>
      <c r="E21" s="248"/>
      <c r="F21" t="str">
        <f t="shared" ca="1" si="2"/>
        <v>6. RECAPEAMENTO/RECUPERAÇÃO ASFÁLTICA - TRECHO DA RUA ANTÔNIO MORAES ROSA</v>
      </c>
      <c r="G21" s="553">
        <v>2</v>
      </c>
      <c r="H21" s="553">
        <v>2</v>
      </c>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IF(AUTOEVENTO="Manual",IF(EVENTOS!$F22&gt;0,"F",""),IF(AND(B22&gt;0,B22&lt;=MAX(CÁLCULO!$M$15:$M$56)),"F",""))</f>
        <v>F</v>
      </c>
      <c r="B22" s="247">
        <f t="shared" ca="1" si="1"/>
        <v>7</v>
      </c>
      <c r="C22" s="514" t="str">
        <f ca="1">IF(AUTOEVENTO="Manual",IF($B22&gt;0,OFFSET(EVENTOS!$D$15,$B22-$B$15,0),0),IF(B22&lt;=MAX(CÁLCULO!$M$15:$M$56),VLOOKUP($B22,CÁLCULO!$M$15:$N$56,2,FALSE),0))</f>
        <v>LEVANTAMENTO FINAL</v>
      </c>
      <c r="D22" s="554"/>
      <c r="E22" s="248"/>
      <c r="F22" t="str">
        <f t="shared" ca="1" si="2"/>
        <v>7. LEVANTAMENTO FINAL</v>
      </c>
      <c r="G22" s="553">
        <v>2</v>
      </c>
      <c r="H22" s="553">
        <v>2</v>
      </c>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ht="5.0999999999999996" customHeight="1" x14ac:dyDescent="0.2">
      <c r="A23" t="s">
        <v>536</v>
      </c>
      <c r="B23" s="638"/>
      <c r="C23" s="433"/>
      <c r="D23" s="555"/>
      <c r="E23" s="262"/>
      <c r="F23" s="262"/>
      <c r="G23" s="638"/>
      <c r="H23" s="639"/>
      <c r="I23" s="639"/>
      <c r="J23" s="639"/>
      <c r="K23" s="639"/>
      <c r="L23" s="639"/>
      <c r="M23" s="639"/>
      <c r="N23" s="639"/>
      <c r="O23" s="639"/>
      <c r="P23" s="639"/>
      <c r="Q23" s="639"/>
      <c r="R23" s="639"/>
      <c r="S23" s="639"/>
      <c r="T23" s="639"/>
      <c r="U23" s="639"/>
      <c r="V23" s="639"/>
      <c r="W23" s="639"/>
      <c r="X23" s="639"/>
      <c r="Y23" s="639"/>
      <c r="Z23" s="639"/>
      <c r="AA23" s="639"/>
      <c r="AB23" s="639"/>
      <c r="AC23" s="639"/>
      <c r="AD23" s="639"/>
      <c r="AE23" s="433"/>
    </row>
    <row r="24" spans="1:31" ht="6" customHeight="1" x14ac:dyDescent="0.2">
      <c r="A24" s="7" t="s">
        <v>536</v>
      </c>
    </row>
    <row r="25" spans="1:31" ht="15" x14ac:dyDescent="0.2">
      <c r="A25" s="7" t="s">
        <v>536</v>
      </c>
      <c r="C25" s="486" t="s">
        <v>779</v>
      </c>
      <c r="H25" s="769">
        <f>(ROW($G25)-ROW($G$25))/8*12+1</f>
        <v>1</v>
      </c>
      <c r="I25" s="769"/>
      <c r="J25" s="769">
        <f>H25+1</f>
        <v>2</v>
      </c>
      <c r="K25" s="769"/>
      <c r="L25" s="769">
        <f>J25+1</f>
        <v>3</v>
      </c>
      <c r="M25" s="769"/>
      <c r="N25" s="769">
        <f>L25+1</f>
        <v>4</v>
      </c>
      <c r="O25" s="769"/>
      <c r="P25" s="769">
        <f>N25+1</f>
        <v>5</v>
      </c>
      <c r="Q25" s="769"/>
      <c r="R25" s="769">
        <f>P25+1</f>
        <v>6</v>
      </c>
      <c r="S25" s="769"/>
      <c r="T25" s="769">
        <f>R25+1</f>
        <v>7</v>
      </c>
      <c r="U25" s="769"/>
      <c r="V25" s="769">
        <f>T25+1</f>
        <v>8</v>
      </c>
      <c r="W25" s="769"/>
      <c r="X25" s="769">
        <f>V25+1</f>
        <v>9</v>
      </c>
      <c r="Y25" s="769"/>
      <c r="Z25" s="769">
        <f>X25+1</f>
        <v>10</v>
      </c>
      <c r="AA25" s="769"/>
      <c r="AB25" s="769">
        <f>Z25+1</f>
        <v>11</v>
      </c>
      <c r="AC25" s="769"/>
      <c r="AD25" s="769">
        <f>AB25+1</f>
        <v>12</v>
      </c>
      <c r="AE25" s="769"/>
    </row>
    <row r="26" spans="1:31" ht="12.75" customHeight="1" x14ac:dyDescent="0.2">
      <c r="A26" s="7" t="s">
        <v>536</v>
      </c>
      <c r="C26" s="766" t="s">
        <v>780</v>
      </c>
      <c r="G26" s="551" t="s">
        <v>781</v>
      </c>
      <c r="H26" s="755">
        <f ca="1">OFFSET(CRONO!$T$39,0,CRONOPLE!H25)</f>
        <v>0.11098200512085468</v>
      </c>
      <c r="I26" s="755"/>
      <c r="J26" s="755">
        <f ca="1">OFFSET(CRONO!$T$39,0,CRONOPLE!J25)</f>
        <v>0.88901799487914523</v>
      </c>
      <c r="K26" s="755"/>
      <c r="L26" s="755">
        <f ca="1">OFFSET(CRONO!$T$39,0,CRONOPLE!L25)</f>
        <v>0</v>
      </c>
      <c r="M26" s="755"/>
      <c r="N26" s="755">
        <f ca="1">OFFSET(CRONO!$T$39,0,CRONOPLE!N25)</f>
        <v>0</v>
      </c>
      <c r="O26" s="755"/>
      <c r="P26" s="755">
        <f ca="1">OFFSET(CRONO!$T$39,0,CRONOPLE!P25)</f>
        <v>0</v>
      </c>
      <c r="Q26" s="755"/>
      <c r="R26" s="755">
        <f ca="1">OFFSET(CRONO!$T$39,0,CRONOPLE!R25)</f>
        <v>0</v>
      </c>
      <c r="S26" s="755"/>
      <c r="T26" s="755">
        <f ca="1">OFFSET(CRONO!$T$39,0,CRONOPLE!T25)</f>
        <v>0</v>
      </c>
      <c r="U26" s="755"/>
      <c r="V26" s="755">
        <f ca="1">OFFSET(CRONO!$T$39,0,CRONOPLE!V25)</f>
        <v>0</v>
      </c>
      <c r="W26" s="755"/>
      <c r="X26" s="755">
        <f ca="1">OFFSET(CRONO!$T$39,0,CRONOPLE!X25)</f>
        <v>0</v>
      </c>
      <c r="Y26" s="755"/>
      <c r="Z26" s="755">
        <f ca="1">OFFSET(CRONO!$T$39,0,CRONOPLE!Z25)</f>
        <v>0</v>
      </c>
      <c r="AA26" s="755"/>
      <c r="AB26" s="755">
        <f ca="1">OFFSET(CRONO!$T$39,0,CRONOPLE!AB25)</f>
        <v>0</v>
      </c>
      <c r="AC26" s="755"/>
      <c r="AD26" s="755">
        <f ca="1">OFFSET(CRONO!$T$39,0,CRONOPLE!AD25)</f>
        <v>0</v>
      </c>
      <c r="AE26" s="755"/>
    </row>
    <row r="27" spans="1:31" ht="12.75" customHeight="1" x14ac:dyDescent="0.2">
      <c r="A27" s="7" t="s">
        <v>536</v>
      </c>
      <c r="C27" s="767"/>
      <c r="G27" s="487" t="s">
        <v>782</v>
      </c>
      <c r="H27" s="768">
        <f ca="1">OFFSET(CRONO!$T$43,0,CRONOPLE!H25)</f>
        <v>120047.75</v>
      </c>
      <c r="I27" s="768"/>
      <c r="J27" s="753">
        <f ca="1">OFFSET(CRONO!$T$43,0,CRONOPLE!J25)</f>
        <v>961638.87000000011</v>
      </c>
      <c r="K27" s="754"/>
      <c r="L27" s="753">
        <f ca="1">OFFSET(CRONO!$T$43,0,CRONOPLE!L25)</f>
        <v>0</v>
      </c>
      <c r="M27" s="754"/>
      <c r="N27" s="753">
        <f ca="1">OFFSET(CRONO!$T$43,0,CRONOPLE!N25)</f>
        <v>0</v>
      </c>
      <c r="O27" s="754"/>
      <c r="P27" s="753">
        <f ca="1">OFFSET(CRONO!$T$43,0,CRONOPLE!P25)</f>
        <v>0</v>
      </c>
      <c r="Q27" s="754"/>
      <c r="R27" s="753">
        <f ca="1">OFFSET(CRONO!$T$43,0,CRONOPLE!R25)</f>
        <v>0</v>
      </c>
      <c r="S27" s="754"/>
      <c r="T27" s="753">
        <f ca="1">OFFSET(CRONO!$T$43,0,CRONOPLE!T25)</f>
        <v>0</v>
      </c>
      <c r="U27" s="754"/>
      <c r="V27" s="753">
        <f ca="1">OFFSET(CRONO!$T$43,0,CRONOPLE!V25)</f>
        <v>0</v>
      </c>
      <c r="W27" s="754"/>
      <c r="X27" s="753">
        <f ca="1">OFFSET(CRONO!$T$43,0,CRONOPLE!X25)</f>
        <v>0</v>
      </c>
      <c r="Y27" s="754"/>
      <c r="Z27" s="753">
        <f ca="1">OFFSET(CRONO!$T$43,0,CRONOPLE!Z25)</f>
        <v>0</v>
      </c>
      <c r="AA27" s="754"/>
      <c r="AB27" s="753">
        <f ca="1">OFFSET(CRONO!$T$43,0,CRONOPLE!AB25)</f>
        <v>0</v>
      </c>
      <c r="AC27" s="754"/>
      <c r="AD27" s="753">
        <f ca="1">OFFSET(CRONO!$T$43,0,CRONOPLE!AD25)</f>
        <v>0</v>
      </c>
      <c r="AE27" s="754"/>
    </row>
    <row r="28" spans="1:31" ht="12.75" customHeight="1" x14ac:dyDescent="0.2">
      <c r="A28" s="7" t="s">
        <v>536</v>
      </c>
      <c r="C28" s="766" t="s">
        <v>783</v>
      </c>
      <c r="G28" s="551" t="s">
        <v>781</v>
      </c>
      <c r="H28" s="755">
        <f ca="1">OFFSET(CRONO!$T$44,0,CRONOPLE!H25)</f>
        <v>0.111</v>
      </c>
      <c r="I28" s="755"/>
      <c r="J28" s="758">
        <f ca="1">OFFSET(CRONO!$T$44,0,CRONOPLE!J25)</f>
        <v>1</v>
      </c>
      <c r="K28" s="759"/>
      <c r="L28" s="758">
        <f ca="1">OFFSET(CRONO!$T$44,0,CRONOPLE!L25)</f>
        <v>1</v>
      </c>
      <c r="M28" s="759"/>
      <c r="N28" s="758">
        <f ca="1">OFFSET(CRONO!$T$44,0,CRONOPLE!N25)</f>
        <v>1</v>
      </c>
      <c r="O28" s="759"/>
      <c r="P28" s="758">
        <f ca="1">OFFSET(CRONO!$T$44,0,CRONOPLE!P25)</f>
        <v>1</v>
      </c>
      <c r="Q28" s="759"/>
      <c r="R28" s="758">
        <f ca="1">OFFSET(CRONO!$T$44,0,CRONOPLE!R25)</f>
        <v>1</v>
      </c>
      <c r="S28" s="759"/>
      <c r="T28" s="758">
        <f ca="1">OFFSET(CRONO!$T$44,0,CRONOPLE!T25)</f>
        <v>1</v>
      </c>
      <c r="U28" s="759"/>
      <c r="V28" s="758">
        <f ca="1">OFFSET(CRONO!$T$44,0,CRONOPLE!V25)</f>
        <v>1</v>
      </c>
      <c r="W28" s="759"/>
      <c r="X28" s="758">
        <f ca="1">OFFSET(CRONO!$T$44,0,CRONOPLE!X25)</f>
        <v>1</v>
      </c>
      <c r="Y28" s="759"/>
      <c r="Z28" s="758">
        <f ca="1">OFFSET(CRONO!$T$44,0,CRONOPLE!Z25)</f>
        <v>1</v>
      </c>
      <c r="AA28" s="759"/>
      <c r="AB28" s="758">
        <f ca="1">OFFSET(CRONO!$T$44,0,CRONOPLE!AB25)</f>
        <v>1</v>
      </c>
      <c r="AC28" s="759"/>
      <c r="AD28" s="758">
        <f ca="1">OFFSET(CRONO!$T$44,0,CRONOPLE!AD25)</f>
        <v>1</v>
      </c>
      <c r="AE28" s="759"/>
    </row>
    <row r="29" spans="1:31" ht="12.75" customHeight="1" x14ac:dyDescent="0.2">
      <c r="A29" s="7" t="s">
        <v>536</v>
      </c>
      <c r="C29" s="772"/>
      <c r="G29" s="487" t="s">
        <v>782</v>
      </c>
      <c r="H29" s="771">
        <f ca="1">OFFSET(CRONO!$T$48,0,CRONOPLE!H25)</f>
        <v>120047.75000000001</v>
      </c>
      <c r="I29" s="771"/>
      <c r="J29" s="760">
        <f ca="1">OFFSET(CRONO!$T$48,0,CRONOPLE!J25)</f>
        <v>1081686.6200000001</v>
      </c>
      <c r="K29" s="761"/>
      <c r="L29" s="760">
        <f ca="1">OFFSET(CRONO!$T$48,0,CRONOPLE!L25)</f>
        <v>1081686.6200000001</v>
      </c>
      <c r="M29" s="761"/>
      <c r="N29" s="760">
        <f ca="1">OFFSET(CRONO!$T$48,0,CRONOPLE!N25)</f>
        <v>1081686.6200000001</v>
      </c>
      <c r="O29" s="761"/>
      <c r="P29" s="760">
        <f ca="1">OFFSET(CRONO!$T$48,0,CRONOPLE!P25)</f>
        <v>1081686.6200000001</v>
      </c>
      <c r="Q29" s="761"/>
      <c r="R29" s="760">
        <f ca="1">OFFSET(CRONO!$T$48,0,CRONOPLE!R25)</f>
        <v>1081686.6200000001</v>
      </c>
      <c r="S29" s="761"/>
      <c r="T29" s="760">
        <f ca="1">OFFSET(CRONO!$T$48,0,CRONOPLE!T25)</f>
        <v>1081686.6200000001</v>
      </c>
      <c r="U29" s="761"/>
      <c r="V29" s="760">
        <f ca="1">OFFSET(CRONO!$T$48,0,CRONOPLE!V25)</f>
        <v>1081686.6200000001</v>
      </c>
      <c r="W29" s="761"/>
      <c r="X29" s="760">
        <f ca="1">OFFSET(CRONO!$T$48,0,CRONOPLE!X25)</f>
        <v>1081686.6200000001</v>
      </c>
      <c r="Y29" s="761"/>
      <c r="Z29" s="760">
        <f ca="1">OFFSET(CRONO!$T$48,0,CRONOPLE!Z25)</f>
        <v>1081686.6200000001</v>
      </c>
      <c r="AA29" s="761"/>
      <c r="AB29" s="760">
        <f ca="1">OFFSET(CRONO!$T$48,0,CRONOPLE!AB25)</f>
        <v>1081686.6200000001</v>
      </c>
      <c r="AC29" s="761"/>
      <c r="AD29" s="760">
        <f ca="1">OFFSET(CRONO!$T$48,0,CRONOPLE!AD25)</f>
        <v>1081686.6200000001</v>
      </c>
      <c r="AE29" s="761"/>
    </row>
    <row r="30" spans="1:31" ht="12.75" customHeight="1" x14ac:dyDescent="0.2">
      <c r="A30" s="7" t="s">
        <v>536</v>
      </c>
      <c r="C30" s="552" t="s">
        <v>784</v>
      </c>
      <c r="D30" s="550"/>
      <c r="G30" s="551" t="s">
        <v>781</v>
      </c>
      <c r="H30" s="755" t="str">
        <f ca="1">OFFSET(CRONO!$T$49,0,CRONOPLE!H25)</f>
        <v/>
      </c>
      <c r="I30" s="755"/>
      <c r="J30" s="756" t="str">
        <f ca="1">OFFSET(CRONO!$T$49,0,CRONOPLE!J25)</f>
        <v/>
      </c>
      <c r="K30" s="757"/>
      <c r="L30" s="756" t="str">
        <f ca="1">OFFSET(CRONO!$T$49,0,CRONOPLE!L25)</f>
        <v/>
      </c>
      <c r="M30" s="757"/>
      <c r="N30" s="756" t="str">
        <f ca="1">OFFSET(CRONO!$T$49,0,CRONOPLE!N25)</f>
        <v/>
      </c>
      <c r="O30" s="757"/>
      <c r="P30" s="756" t="str">
        <f ca="1">OFFSET(CRONO!$T$49,0,CRONOPLE!P25)</f>
        <v/>
      </c>
      <c r="Q30" s="757"/>
      <c r="R30" s="756" t="str">
        <f ca="1">OFFSET(CRONO!$T$49,0,CRONOPLE!R25)</f>
        <v/>
      </c>
      <c r="S30" s="757"/>
      <c r="T30" s="756" t="str">
        <f ca="1">OFFSET(CRONO!$T$49,0,CRONOPLE!T25)</f>
        <v/>
      </c>
      <c r="U30" s="757"/>
      <c r="V30" s="756" t="str">
        <f ca="1">OFFSET(CRONO!$T$49,0,CRONOPLE!V25)</f>
        <v/>
      </c>
      <c r="W30" s="757"/>
      <c r="X30" s="756" t="str">
        <f ca="1">OFFSET(CRONO!$T$49,0,CRONOPLE!X25)</f>
        <v/>
      </c>
      <c r="Y30" s="757"/>
      <c r="Z30" s="756" t="str">
        <f ca="1">OFFSET(CRONO!$T$49,0,CRONOPLE!Z25)</f>
        <v/>
      </c>
      <c r="AA30" s="757"/>
      <c r="AB30" s="756" t="str">
        <f ca="1">OFFSET(CRONO!$T$49,0,CRONOPLE!AB25)</f>
        <v/>
      </c>
      <c r="AC30" s="757"/>
      <c r="AD30" s="756" t="str">
        <f ca="1">OFFSET(CRONO!$T$49,0,CRONOPLE!AD25)</f>
        <v/>
      </c>
      <c r="AE30" s="757"/>
    </row>
    <row r="31" spans="1:31" ht="15" customHeight="1" x14ac:dyDescent="0.25">
      <c r="A31" s="7" t="s">
        <v>536</v>
      </c>
      <c r="C31" s="549"/>
      <c r="G31" s="583" t="str">
        <f ca="1">IF(COUNTIF(H31:AF31,"%Adm&gt;%Global")&gt;0,"Verificar proporcionalidade da Administração Local","")</f>
        <v/>
      </c>
      <c r="H31" s="535" t="str">
        <f ca="1">IF(H30="","",IF(ROUND(H30,4)&gt;ROUND(H28,4),"%Adm&gt;%Global",""))</f>
        <v/>
      </c>
      <c r="J31" s="535" t="str">
        <f t="shared" ref="J31" ca="1" si="3">IF(J30="","",IF(ROUND(J30,4)&gt;ROUND(J28,4),"%Adm&gt;%Global",""))</f>
        <v/>
      </c>
      <c r="L31" s="535" t="str">
        <f t="shared" ref="L31" ca="1" si="4">IF(L30="","",IF(ROUND(L30,4)&gt;ROUND(L28,4),"%Adm&gt;%Global",""))</f>
        <v/>
      </c>
      <c r="N31" s="535" t="str">
        <f t="shared" ref="N31" ca="1" si="5">IF(N30="","",IF(ROUND(N30,4)&gt;ROUND(N28,4),"%Adm&gt;%Global",""))</f>
        <v/>
      </c>
      <c r="P31" s="535" t="str">
        <f t="shared" ref="P31" ca="1" si="6">IF(P30="","",IF(ROUND(P30,4)&gt;ROUND(P28,4),"%Adm&gt;%Global",""))</f>
        <v/>
      </c>
      <c r="R31" s="535" t="str">
        <f t="shared" ref="R31" ca="1" si="7">IF(R30="","",IF(ROUND(R30,4)&gt;ROUND(R28,4),"%Adm&gt;%Global",""))</f>
        <v/>
      </c>
      <c r="T31" s="535" t="str">
        <f t="shared" ref="T31" ca="1" si="8">IF(T30="","",IF(ROUND(T30,4)&gt;ROUND(T28,4),"%Adm&gt;%Global",""))</f>
        <v/>
      </c>
      <c r="V31" s="535" t="str">
        <f t="shared" ref="V31" ca="1" si="9">IF(V30="","",IF(ROUND(V30,4)&gt;ROUND(V28,4),"%Adm&gt;%Global",""))</f>
        <v/>
      </c>
      <c r="X31" s="535" t="str">
        <f t="shared" ref="X31" ca="1" si="10">IF(X30="","",IF(ROUND(X30,4)&gt;ROUND(X28,4),"%Adm&gt;%Global",""))</f>
        <v/>
      </c>
      <c r="Z31" s="535" t="str">
        <f t="shared" ref="Z31" ca="1" si="11">IF(Z30="","",IF(ROUND(Z30,4)&gt;ROUND(Z28,4),"%Adm&gt;%Global",""))</f>
        <v/>
      </c>
      <c r="AB31" s="535" t="str">
        <f t="shared" ref="AB31" ca="1" si="12">IF(AB30="","",IF(ROUND(AB30,4)&gt;ROUND(AB28,4),"%Adm&gt;%Global",""))</f>
        <v/>
      </c>
      <c r="AD31" s="535" t="str">
        <f t="shared" ref="AD31" ca="1" si="13">IF(AD30="","",IF(ROUND(AD30,4)&gt;ROUND(AD28,4),"%Adm&gt;%Global",""))</f>
        <v/>
      </c>
    </row>
    <row r="32" spans="1:31" x14ac:dyDescent="0.2">
      <c r="A32" s="7" t="s">
        <v>536</v>
      </c>
    </row>
    <row r="33" spans="1:31" ht="15" x14ac:dyDescent="0.2">
      <c r="A33" s="7" t="s">
        <v>536</v>
      </c>
      <c r="B33" s="138" t="str">
        <f>Import.Município</f>
        <v>PILAR DO SUL</v>
      </c>
      <c r="C33" s="138"/>
      <c r="E33" s="488"/>
      <c r="F33" s="488"/>
      <c r="G33" s="488"/>
      <c r="H33" s="488"/>
      <c r="I33" s="488"/>
      <c r="J33" s="488"/>
      <c r="K33" s="488"/>
      <c r="L33" s="488"/>
      <c r="V33" s="460"/>
      <c r="W33" s="417"/>
      <c r="X33" s="417"/>
      <c r="Y33" s="417"/>
      <c r="Z33" s="417"/>
      <c r="AA33" s="417"/>
      <c r="AB33" s="417"/>
      <c r="AC33" s="417"/>
      <c r="AD33" s="417"/>
      <c r="AE33" s="417"/>
    </row>
    <row r="34" spans="1:31" x14ac:dyDescent="0.2">
      <c r="A34" s="7" t="s">
        <v>536</v>
      </c>
      <c r="B34" s="9" t="s">
        <v>693</v>
      </c>
      <c r="F34" s="185"/>
      <c r="G34" s="185"/>
      <c r="H34" s="185"/>
      <c r="I34" s="185"/>
      <c r="J34" s="185"/>
      <c r="K34" s="185"/>
      <c r="L34" s="187"/>
      <c r="V34" s="181" t="s">
        <v>696</v>
      </c>
    </row>
    <row r="35" spans="1:31" x14ac:dyDescent="0.2">
      <c r="A35" s="7" t="s">
        <v>536</v>
      </c>
      <c r="F35" s="185"/>
      <c r="G35" s="185"/>
      <c r="H35" s="185"/>
      <c r="I35" s="185"/>
      <c r="J35" s="185"/>
      <c r="K35" s="185"/>
      <c r="L35" s="187"/>
      <c r="V35" s="398" t="str">
        <f t="array" aca="1" ref="V35:V37" ca="1">OFFSET(Import.RespOrçamento,0,-1) &amp; " " &amp; Import.RespOrçamento</f>
        <v>Nome: EDUARDO OLIVEIRA DOS SANTOS JUNIOR</v>
      </c>
    </row>
    <row r="36" spans="1:31" ht="16.5" x14ac:dyDescent="0.3">
      <c r="A36" s="7" t="s">
        <v>536</v>
      </c>
      <c r="B36" s="773">
        <f ca="1">DADOS!$C$25</f>
        <v>46142</v>
      </c>
      <c r="C36" s="773"/>
      <c r="F36" s="185"/>
      <c r="G36" s="185"/>
      <c r="H36" s="185"/>
      <c r="I36" s="185"/>
      <c r="J36" s="185"/>
      <c r="K36" s="185"/>
      <c r="L36" s="187"/>
      <c r="V36" s="398" t="str">
        <f ca="1"/>
        <v>CREA/CAU: 5069244515-SP</v>
      </c>
    </row>
    <row r="37" spans="1:31" x14ac:dyDescent="0.2">
      <c r="A37" s="7" t="s">
        <v>536</v>
      </c>
      <c r="B37" s="9" t="s">
        <v>694</v>
      </c>
      <c r="F37" s="185"/>
      <c r="G37" s="185"/>
      <c r="H37" s="185"/>
      <c r="I37" s="185"/>
      <c r="J37" s="185"/>
      <c r="K37" s="185"/>
      <c r="L37" s="187"/>
      <c r="V37" s="398" t="str">
        <f ca="1"/>
        <v>ART/RRT: 2620260743929</v>
      </c>
    </row>
  </sheetData>
  <sheetProtection algorithmName="SHA-512" hashValue="1tvRvriI9wPkZu0RaTLxhqXmMZN+mWT1Dbp548Oiugd3JloGa1GBTPe0A2E3UL/Ag4QApeMTra+vrJvtRCnh1Q==" saltValue="hvu4dh2hf4csf3sgz1lJfA==" spinCount="100000" sheet="1" objects="1" scenarios="1" autoFilter="0"/>
  <autoFilter ref="A13:A37" xr:uid="{00000000-0001-0000-0800-000000000000}"/>
  <mergeCells count="86">
    <mergeCell ref="C28:C29"/>
    <mergeCell ref="H30:I30"/>
    <mergeCell ref="J30:K30"/>
    <mergeCell ref="X28:Y28"/>
    <mergeCell ref="B36:C36"/>
    <mergeCell ref="V29:W29"/>
    <mergeCell ref="X29:Y29"/>
    <mergeCell ref="L30:M30"/>
    <mergeCell ref="N30:O30"/>
    <mergeCell ref="Z29:AA29"/>
    <mergeCell ref="H28:I28"/>
    <mergeCell ref="J28:K28"/>
    <mergeCell ref="L28:M28"/>
    <mergeCell ref="N28:O28"/>
    <mergeCell ref="H29:I29"/>
    <mergeCell ref="J29:K29"/>
    <mergeCell ref="N29:O29"/>
    <mergeCell ref="P29:Q29"/>
    <mergeCell ref="R29:S29"/>
    <mergeCell ref="T29:U29"/>
    <mergeCell ref="P28:Q28"/>
    <mergeCell ref="R28:S28"/>
    <mergeCell ref="V28:W28"/>
    <mergeCell ref="L29:M29"/>
    <mergeCell ref="T28:U28"/>
    <mergeCell ref="T27:U27"/>
    <mergeCell ref="V27:W27"/>
    <mergeCell ref="L26:M26"/>
    <mergeCell ref="N26:O26"/>
    <mergeCell ref="L27:M27"/>
    <mergeCell ref="N27:O27"/>
    <mergeCell ref="P26:Q26"/>
    <mergeCell ref="R26:S26"/>
    <mergeCell ref="T26:U26"/>
    <mergeCell ref="H25:I25"/>
    <mergeCell ref="J25:K25"/>
    <mergeCell ref="L25:M25"/>
    <mergeCell ref="T25:U25"/>
    <mergeCell ref="B8:C8"/>
    <mergeCell ref="B12:B13"/>
    <mergeCell ref="C12:C13"/>
    <mergeCell ref="N25:O25"/>
    <mergeCell ref="P25:Q25"/>
    <mergeCell ref="R25:S25"/>
    <mergeCell ref="AD25:AE25"/>
    <mergeCell ref="X26:Y26"/>
    <mergeCell ref="Z26:AA26"/>
    <mergeCell ref="V26:W26"/>
    <mergeCell ref="AB25:AC25"/>
    <mergeCell ref="X25:Y25"/>
    <mergeCell ref="Z25:AA25"/>
    <mergeCell ref="V25:W25"/>
    <mergeCell ref="C26:C27"/>
    <mergeCell ref="H26:I26"/>
    <mergeCell ref="J26:K26"/>
    <mergeCell ref="H27:I27"/>
    <mergeCell ref="J27:K27"/>
    <mergeCell ref="AC2:AE2"/>
    <mergeCell ref="B4:D4"/>
    <mergeCell ref="G4:I4"/>
    <mergeCell ref="J4:L4"/>
    <mergeCell ref="B5:D5"/>
    <mergeCell ref="G5:I5"/>
    <mergeCell ref="J5:L5"/>
    <mergeCell ref="M5:AE5"/>
    <mergeCell ref="AB30:AC30"/>
    <mergeCell ref="R27:S27"/>
    <mergeCell ref="X27:Y27"/>
    <mergeCell ref="P27:Q27"/>
    <mergeCell ref="AD28:AE28"/>
    <mergeCell ref="P30:Q30"/>
    <mergeCell ref="AD29:AE29"/>
    <mergeCell ref="AD30:AE30"/>
    <mergeCell ref="R30:S30"/>
    <mergeCell ref="T30:U30"/>
    <mergeCell ref="V30:W30"/>
    <mergeCell ref="X30:Y30"/>
    <mergeCell ref="Z30:AA30"/>
    <mergeCell ref="AB29:AC29"/>
    <mergeCell ref="Z28:AA28"/>
    <mergeCell ref="AB28:AC28"/>
    <mergeCell ref="AB27:AC27"/>
    <mergeCell ref="AB26:AC26"/>
    <mergeCell ref="AD26:AE26"/>
    <mergeCell ref="AD27:AE27"/>
    <mergeCell ref="Z27:AA27"/>
  </mergeCells>
  <phoneticPr fontId="38" type="noConversion"/>
  <conditionalFormatting sqref="E1 G1:AE1 E16:E22 G16:AE22">
    <cfRule type="expression" dxfId="186" priority="802" stopIfTrue="1">
      <formula>IF(OR(E$12&gt;CÁLCULO.NúmeroDeFrentes,ACOMPANHAMENTO="BM"),TRUE,CRONOPLE.ValorDoEvento=0)</formula>
    </cfRule>
  </conditionalFormatting>
  <conditionalFormatting sqref="U4:Y4">
    <cfRule type="expression" dxfId="185" priority="692" stopIfTrue="1">
      <formula>QCI.ExisteManual</formula>
    </cfRule>
  </conditionalFormatting>
  <conditionalFormatting sqref="J25:AE25">
    <cfRule type="expression" dxfId="184" priority="691" stopIfTrue="1">
      <formula>OFFSET(J25,3,-2)=1</formula>
    </cfRule>
  </conditionalFormatting>
  <conditionalFormatting sqref="J26:AE26">
    <cfRule type="expression" dxfId="183" priority="686" stopIfTrue="1">
      <formula>OFFSET(J26,2,-2)=1</formula>
    </cfRule>
  </conditionalFormatting>
  <conditionalFormatting sqref="J27:AE27">
    <cfRule type="expression" dxfId="182" priority="685" stopIfTrue="1">
      <formula>OFFSET(J27,1,-2)=1</formula>
    </cfRule>
  </conditionalFormatting>
  <conditionalFormatting sqref="J28:AE28">
    <cfRule type="expression" dxfId="181" priority="684" stopIfTrue="1">
      <formula>OFFSET(J28,0,-2)=1</formula>
    </cfRule>
  </conditionalFormatting>
  <conditionalFormatting sqref="J29:AE29">
    <cfRule type="expression" dxfId="180" priority="683" stopIfTrue="1">
      <formula>OFFSET(J29,-1,-2)=1</formula>
    </cfRule>
  </conditionalFormatting>
  <conditionalFormatting sqref="B15:C15 E15 G15:AF15">
    <cfRule type="expression" dxfId="179" priority="507">
      <formula>$B$15=0</formula>
    </cfRule>
  </conditionalFormatting>
  <conditionalFormatting sqref="B8:C8">
    <cfRule type="expression" dxfId="178" priority="506">
      <formula>$B$7=""</formula>
    </cfRule>
  </conditionalFormatting>
  <conditionalFormatting sqref="J30:AE30">
    <cfRule type="expression" dxfId="177" priority="505">
      <formula>OFFSET(J30,-2,-2)=1</formula>
    </cfRule>
  </conditionalFormatting>
  <conditionalFormatting sqref="H30:AE30">
    <cfRule type="expression" dxfId="176" priority="504">
      <formula>ROUND(H30,4)&gt;ROUND(H28,4)</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22 E16:E22"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55"/>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IF($F2=-1,0,IF(N$13&lt;=$M1,IF(ISERROR(MATCH(N$13,OFFSET($M1,1,0,ROW($M$38)-ROW($M1)-1),0)),ROW($M$38)-ROW($M1)-1,MATCH(N$13,OFFSET($M1,1,0,ROW($M$38)-ROW($M1)-1),0)-1),0))</f>
        <v>#REF!</v>
      </c>
      <c r="O1" s="193" t="e">
        <f ca="1">IF($F2=-1,0,IF(O$13&lt;=$M1,IF(ISERROR(MATCH(O$13,OFFSET($M1,1,0,ROW($M$38)-ROW($M1)-1),0)),ROW($M$38)-ROW($M1)-1,MATCH(O$13,OFFSET($M1,1,0,ROW($M$38)-ROW($M1)-1),0)-1),0))</f>
        <v>#REF!</v>
      </c>
      <c r="P1" s="193" t="e">
        <f ca="1">IF($F2=-1,0,IF(P$13&lt;=$M1,IF(ISERROR(MATCH(P$13,OFFSET($M1,1,0,ROW($M$38)-ROW($M1)-1),0)),ROW($M$38)-ROW($M1)-1,MATCH(P$13,OFFSET($M1,1,0,ROW($M$38)-ROW($M1)-1),0)-1),0))</f>
        <v>#REF!</v>
      </c>
      <c r="Q1" s="193" t="e">
        <f ca="1">IF($F2=-1,0,IF(Q$13&lt;=$M1,IF(ISERROR(MATCH(Q$13,OFFSET($M1,1,0,ROW($M$38)-ROW($M1)-1),0)),ROW($M$38)-ROW($M1)-1,MATCH(Q$13,OFFSET($M1,1,0,ROW($M$38)-ROW($M1)-1),0)-1),0))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IF(ISERROR(F1),IF(1+COUNTIF($M$13:OFFSET(M1,-1,0),1)&lt;=MAX(QCI!$D$13:$D$15),1+COUNTIF($M$13:OFFSET(M1,-1,0),1),-1),0)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SUMIF(CÁLCULO!$AM$15:$AW$56,CRONO!E$12,CÁLCULO!$AB$15:$AL$56)/(ORÇAMENTO!$X$15-CÁLCULO.TotalAdmLocal)*CRONO!$F3,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SUMIF(CÁLCULO!$AM$15:$AW$56,CRONO!U$12,CÁLCULO!$AB$15:$AL$56)/(ORÇAMENTO!$X$15-CÁLCULO.TotalAdmLocal)*CRONO!$F3,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SUMIF(CÁLCULO!$AM$15:$AW$56,CRONO!V$12,CÁLCULO!$AB$15:$AL$56)/(ORÇAMENTO!$X$15-CÁLCULO.TotalAdmLocal)*CRONO!$F3,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SUMIF(CÁLCULO!$AM$15:$AW$56,CRONO!W$12,CÁLCULO!$AB$15:$AL$56)/(ORÇAMENTO!$X$15-CÁLCULO.TotalAdmLocal)*CRONO!$F3,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SUMIF(CÁLCULO!$AM$15:$AW$56,CRONO!X$12,CÁLCULO!$AB$15:$AL$56)/(ORÇAMENTO!$X$15-CÁLCULO.TotalAdmLocal)*CRONO!$F3,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SUMIF(CÁLCULO!$AM$15:$AW$56,CRONO!Y$12,CÁLCULO!$AB$15:$AL$56)/(ORÇAMENTO!$X$15-CÁLCULO.TotalAdmLocal)*CRONO!$F3,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SUMIF(CÁLCULO!$AM$15:$AW$56,CRONO!Z$12,CÁLCULO!$AB$15:$AL$56)/(ORÇAMENTO!$X$15-CÁLCULO.TotalAdmLocal)*CRONO!$F3,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SUMIF(CÁLCULO!$AM$15:$AW$56,CRONO!AA$12,CÁLCULO!$AB$15:$AL$56)/(ORÇAMENTO!$X$15-CÁLCULO.TotalAdmLocal)*CRONO!$F3,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SUMIF(CÁLCULO!$AM$15:$AW$56,CRONO!AB$12,CÁLCULO!$AB$15:$AL$56)/(ORÇAMENTO!$X$15-CÁLCULO.TotalAdmLocal)*CRONO!$F3,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SUMIF(CÁLCULO!$AM$15:$AW$56,CRONO!AC$12,CÁLCULO!$AB$15:$AL$56)/(ORÇAMENTO!$X$15-CÁLCULO.TotalAdmLocal)*CRONO!$F3,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SUMIF(CÁLCULO!$AM$15:$AW$56,CRONO!AD$12,CÁLCULO!$AB$15:$AL$56)/(ORÇAMENTO!$X$15-CÁLCULO.TotalAdmLocal)*CRONO!$F3,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SUMIF(CÁLCULO!$AM$15:$AW$56,CRONO!AE$12,CÁLCULO!$AB$15:$AL$56)/(ORÇAMENTO!$X$15-CÁLCULO.TotalAdmLocal)*CRONO!$F3,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SUMIF(CÁLCULO!$AM$15:$AW$56,CRONO!AF$12,CÁLCULO!$AB$15:$AL$56)/(ORÇAMENTO!$X$15-CÁLCULO.TotalAdmLocal)*CRONO!$F3,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98" t="s">
        <v>644</v>
      </c>
      <c r="AF4" s="698"/>
    </row>
    <row r="5" spans="1:33" ht="15" x14ac:dyDescent="0.2">
      <c r="S5" s="83" t="str">
        <f>import.recurso</f>
        <v>OGU</v>
      </c>
      <c r="AE5" s="699" t="s">
        <v>647</v>
      </c>
      <c r="AF5" s="699"/>
    </row>
    <row r="6" spans="1:33" ht="12.75" customHeight="1" x14ac:dyDescent="0.2"/>
    <row r="7" spans="1:33" ht="12.75" customHeight="1" x14ac:dyDescent="0.2">
      <c r="F7" s="207"/>
      <c r="H7" s="775"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86" t="s">
        <v>655</v>
      </c>
      <c r="H8" s="775"/>
      <c r="I8" s="774" t="str">
        <f>Import.CR</f>
        <v>1101329-56</v>
      </c>
      <c r="J8" s="774"/>
      <c r="K8" s="214" t="str">
        <f>Import.TransfereGOV</f>
        <v>11213/2025</v>
      </c>
      <c r="L8" s="784" t="str">
        <f>Import.Proponente</f>
        <v>PREFEITURA MUNICIPAL DE PILAR DO SUL</v>
      </c>
      <c r="M8" s="784"/>
      <c r="N8" s="784"/>
      <c r="O8" s="784"/>
      <c r="P8" s="784"/>
      <c r="Q8" s="784"/>
      <c r="R8" s="784"/>
      <c r="S8" s="784"/>
      <c r="T8" s="784"/>
      <c r="U8" s="774" t="str">
        <f>Import.Apelido</f>
        <v>INFRAESTRUTURA URBANA COM RECUPERAÇÃO, DRENAGEM E RECAPEAMENTO ASFÁLTICO RUAS DO MUNICÍPIO DE PILAR DO SUL</v>
      </c>
      <c r="V8" s="774"/>
      <c r="W8" s="774"/>
      <c r="X8" s="774"/>
      <c r="Y8" s="774"/>
      <c r="Z8" s="776" t="str" cm="1">
        <f t="array" ref="Z8">IF(TIPOORCAMENTO="Licitado",Import.empresa,Import.DescLote)</f>
        <v>QUALIFICAÇÃO VIÁRIA COM EXECUÇÃO DE RECAPEAMENTO ASFÁLTICO EM RUAS DO MUNICÍPIO DE PILAR DO SUL</v>
      </c>
      <c r="AA8" s="776"/>
      <c r="AB8" s="776"/>
      <c r="AC8" s="776"/>
      <c r="AD8" s="776"/>
      <c r="AE8" s="776"/>
      <c r="AF8" s="203" t="str" cm="1">
        <f t="array" ref="AF8">IF(TIPOORCAMENTO="Licitado",Import.CTEF,"")</f>
        <v/>
      </c>
    </row>
    <row r="9" spans="1:33" x14ac:dyDescent="0.2">
      <c r="A9" s="655">
        <v>2</v>
      </c>
      <c r="F9" s="114"/>
      <c r="G9" s="686"/>
      <c r="H9" s="775"/>
    </row>
    <row r="10" spans="1:33" x14ac:dyDescent="0.2">
      <c r="A10" s="656">
        <v>3</v>
      </c>
      <c r="F10" s="185" cm="1">
        <f t="array" aca="1" ref="F10" ca="1">CRONO.LinhasNecessarias</f>
        <v>8</v>
      </c>
      <c r="G10" s="686"/>
      <c r="H10" s="215">
        <v>2</v>
      </c>
      <c r="K10" s="785" t="str" cm="1">
        <f t="array" aca="1" ref="K10" ca="1">IF(MAX($B$13:$B$38)&lt;CRONO.LinhasNecessarias,"ERRO: NÚMERO DE LINHAS DO CRONOGRAMA INSUFICIENTE. CLIQUE EM ATUALIZAR LINHAS.",IF(AND(ACOMPANHAMENTO="PLE",ROUND(OFFSET($AG$48,0,-1),2)=0),"CRONOGRAMA DEVE SER PREENCHIDO POR EVENTOS",IF(ROUND(OFFSET($AG$48,0,-1),2)&lt;&gt;$R$39,"ERRO: CRONOGRAMA NÃO FECHA 100%","")))</f>
        <v/>
      </c>
      <c r="L10" s="785"/>
      <c r="M10" s="785"/>
      <c r="N10" s="785"/>
      <c r="O10" s="785"/>
      <c r="P10" s="785"/>
      <c r="Q10" s="785"/>
      <c r="R10" s="785"/>
      <c r="S10" s="785"/>
      <c r="T10" s="785"/>
    </row>
    <row r="11" spans="1:33" ht="12.75" customHeight="1" x14ac:dyDescent="0.2">
      <c r="A11" s="657">
        <v>4</v>
      </c>
      <c r="F11" s="185" cm="1">
        <f t="array" aca="1" ref="F11" ca="1">CRONO.ParcelaFinal</f>
        <v>2</v>
      </c>
      <c r="G11" s="686"/>
      <c r="I11" s="216"/>
      <c r="J11" s="216"/>
      <c r="K11" s="785"/>
      <c r="L11" s="785"/>
      <c r="M11" s="785"/>
      <c r="N11" s="785"/>
      <c r="O11" s="785"/>
      <c r="P11" s="785"/>
      <c r="Q11" s="785"/>
      <c r="R11" s="785"/>
      <c r="S11" s="785"/>
      <c r="T11" s="785"/>
    </row>
    <row r="12" spans="1:33" ht="12.75" customHeight="1" x14ac:dyDescent="0.2">
      <c r="A12" s="186" t="s">
        <v>789</v>
      </c>
      <c r="E12" s="217">
        <f ca="1">OFFSET(E12,0,-1)+1</f>
        <v>1</v>
      </c>
      <c r="G12" s="106" t="s">
        <v>660</v>
      </c>
      <c r="H12" s="777" t="s">
        <v>790</v>
      </c>
      <c r="I12" s="778" t="s">
        <v>735</v>
      </c>
      <c r="J12" s="779" t="s">
        <v>118</v>
      </c>
      <c r="K12" s="218"/>
      <c r="L12" s="218"/>
      <c r="M12" s="219"/>
      <c r="N12" s="219"/>
      <c r="O12" s="219"/>
      <c r="P12" s="219"/>
      <c r="Q12" s="219"/>
      <c r="R12" s="219"/>
      <c r="S12" s="782" t="s">
        <v>791</v>
      </c>
      <c r="T12" s="78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77"/>
      <c r="I13" s="778"/>
      <c r="J13" s="779"/>
      <c r="K13" s="223"/>
      <c r="L13" s="223"/>
      <c r="M13" s="224" t="s">
        <v>733</v>
      </c>
      <c r="N13" s="224">
        <v>1</v>
      </c>
      <c r="O13" s="224">
        <v>2</v>
      </c>
      <c r="P13" s="224">
        <v>3</v>
      </c>
      <c r="Q13" s="224">
        <v>4</v>
      </c>
      <c r="R13" s="225" t="s">
        <v>796</v>
      </c>
      <c r="S13" s="782"/>
      <c r="T13" s="783"/>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0.1109820051208547</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QUALIFICAÇÃO VIÁRIA COM EXECUÇÃO DE RECAPEAMENTO ASFÁLTICO EM RUAS DO MUNICÍPIO DE PILAR DO SUL-SP</v>
      </c>
      <c r="K14" s="191"/>
      <c r="L14" s="191"/>
      <c r="M14" s="192">
        <f ca="1">IF($F15=0,OFFSET(ORÇAMENTO!C$15,$F14,0),1)</f>
        <v>1</v>
      </c>
      <c r="N14" s="193">
        <f ca="1">IF($F15=-1,0,IF(N$13&lt;=$M14,IF(ISERROR(MATCH(N$13,OFFSET($M14,1,0,ROW($M$38)-ROW($M14)-1),0)),ROW($M$38)-ROW($M14)-1,MATCH(N$13,OFFSET($M14,1,0,ROW($M$38)-ROW($M14)-1),0)-1),0))</f>
        <v>23</v>
      </c>
      <c r="O14" s="193">
        <f ca="1">IF($F15=-1,0,IF(O$13&lt;=$M14,IF(ISERROR(MATCH(O$13,OFFSET($M14,1,0,ROW($M$38)-ROW($M14)-1),0)),ROW($M$38)-ROW($M14)-1,MATCH(O$13,OFFSET($M14,1,0,ROW($M$38)-ROW($M14)-1),0)-1),0))</f>
        <v>0</v>
      </c>
      <c r="P14" s="193">
        <f ca="1">IF($F15=-1,0,IF(P$13&lt;=$M14,IF(ISERROR(MATCH(P$13,OFFSET($M14,1,0,ROW($M$38)-ROW($M14)-1),0)),ROW($M$38)-ROW($M14)-1,MATCH(P$13,OFFSET($M14,1,0,ROW($M$38)-ROW($M14)-1),0)-1),0))</f>
        <v>0</v>
      </c>
      <c r="Q14" s="193">
        <f ca="1">IF($F15=-1,0,IF(Q$13&lt;=$M14,IF(ISERROR(MATCH(Q$13,OFFSET($M14,1,0,ROW($M$38)-ROW($M14)-1),0)),ROW($M$38)-ROW($M14)-1,MATCH(Q$13,OFFSET($M14,1,0,ROW($M$38)-ROW($M14)-1),0)-1),0))</f>
        <v>0</v>
      </c>
      <c r="R14" s="193">
        <f t="shared" ref="R14" ca="1" si="5">MIN(OFFSET(M14,0,1,,M14))</f>
        <v>23</v>
      </c>
      <c r="S14" s="194">
        <f ca="1">IF($F15=0,OFFSET(ORÇAMENTO!X$15,$F14,0),IF($F15&lt;&gt;-1,OFFSET(QCI!$O$13,$F15,0),""))</f>
        <v>1081686.6200000001</v>
      </c>
      <c r="T14" s="195" t="s">
        <v>785</v>
      </c>
      <c r="U14" s="188" cm="1">
        <f t="array" aca="1" ref="U14" ca="1">IF(AND($R14=2,ACOMPANHAMENTO="BM"),ROUND(U15,4),U16/$S14)</f>
        <v>0.1109820051208547</v>
      </c>
      <c r="V14" s="188" cm="1">
        <f t="array" aca="1" ref="V14" ca="1">IF(AND($R14=2,ACOMPANHAMENTO="BM"),ROUND(V15,4),V16/$S14)</f>
        <v>0.88901799487914535</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
      <c r="E15" s="587"/>
      <c r="F15" s="185">
        <f ca="1">IF(ISERROR(F14),IF(1+COUNTIF($M$13:OFFSET(M14,-1,0),1)&lt;=MAX(QCI!$D$13:$D$15),1+COUNTIF($M$13:OFFSET(M14,-1,0),1),-1),0)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SUMIF(CÁLCULO!$AM$15:$AW$56,CRONO!E$12,CÁLCULO!$AB$15:$AL$56)/(ORÇAMENTO!$X$15-CÁLCULO.TotalAdmLocal)*CRONO!$F16,
                        0),
                 E15*$S14),
          SUMIF(OFFSET($S16,1,0,$R14-2),($M14+1)&amp;"$",OFFSET(E16,1,0,$R14-2)))</f>
        <v>120047.75000000001</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SUMIF(CÁLCULO!$AM$15:$AW$56,CRONO!U$12,CÁLCULO!$AB$15:$AL$56)/(ORÇAMENTO!$X$15-CÁLCULO.TotalAdmLocal)*CRONO!$F16,
                        0),
                 U15*$S14),
          SUMIF(OFFSET($S16,1,0,$R14-2),($M14+1)&amp;"$",OFFSET(U16,1,0,$R14-2)))</f>
        <v>120047.75000000001</v>
      </c>
      <c r="V16" s="202" cm="1">
        <f t="array" aca="1" ref="V16" ca="1">IF($R14=2,
         IF(AND(ACOMPANHAMENTO="PLE",ISNUMBER($F14)),
                SUMIF((OFFSET(CÁLCULO!$AM$15:$AW$15,$F14,0,OFFSET(ORÇAMENTO!$D$15,CRONO!$F14,0))),CRONO!V$12,OFFSET(CÁLCULO!$AB$15:$AL$15,$F14,0,OFFSET(ORÇAMENTO!$D$15,CRONO!$F14,0)))
                +IF(AND($F16&lt;&gt;"",$F16&lt;&gt;0),
                        SUMIF(CÁLCULO!$AM$15:$AW$56,CRONO!V$12,CÁLCULO!$AB$15:$AL$56)/(ORÇAMENTO!$X$15-CÁLCULO.TotalAdmLocal)*CRONO!$F16,
                        0),
                 V15*$S14),
          SUMIF(OFFSET($S16,1,0,$R14-2),($M14+1)&amp;"$",OFFSET(V16,1,0,$R14-2)))</f>
        <v>961638.87000000011</v>
      </c>
      <c r="W16" s="202" cm="1">
        <f t="array" aca="1" ref="W16" ca="1">IF($R14=2,
         IF(AND(ACOMPANHAMENTO="PLE",ISNUMBER($F14)),
                SUMIF((OFFSET(CÁLCULO!$AM$15:$AW$15,$F14,0,OFFSET(ORÇAMENTO!$D$15,CRONO!$F14,0))),CRONO!W$12,OFFSET(CÁLCULO!$AB$15:$AL$15,$F14,0,OFFSET(ORÇAMENTO!$D$15,CRONO!$F14,0)))
                +IF(AND($F16&lt;&gt;"",$F16&lt;&gt;0),
                        SUMIF(CÁLCULO!$AM$15:$AW$56,CRONO!W$12,CÁLCULO!$AB$15:$AL$56)/(ORÇAMENTO!$X$15-CÁLCULO.TotalAdmLocal)*CRONO!$F16,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SUMIF(CÁLCULO!$AM$15:$AW$56,CRONO!X$12,CÁLCULO!$AB$15:$AL$56)/(ORÇAMENTO!$X$15-CÁLCULO.TotalAdmLocal)*CRONO!$F16,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SUMIF(CÁLCULO!$AM$15:$AW$56,CRONO!Y$12,CÁLCULO!$AB$15:$AL$56)/(ORÇAMENTO!$X$15-CÁLCULO.TotalAdmLocal)*CRONO!$F16,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SUMIF(CÁLCULO!$AM$15:$AW$56,CRONO!Z$12,CÁLCULO!$AB$15:$AL$56)/(ORÇAMENTO!$X$15-CÁLCULO.TotalAdmLocal)*CRONO!$F16,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SUMIF(CÁLCULO!$AM$15:$AW$56,CRONO!AA$12,CÁLCULO!$AB$15:$AL$56)/(ORÇAMENTO!$X$15-CÁLCULO.TotalAdmLocal)*CRONO!$F16,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SUMIF(CÁLCULO!$AM$15:$AW$56,CRONO!AB$12,CÁLCULO!$AB$15:$AL$56)/(ORÇAMENTO!$X$15-CÁLCULO.TotalAdmLocal)*CRONO!$F16,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SUMIF(CÁLCULO!$AM$15:$AW$56,CRONO!AC$12,CÁLCULO!$AB$15:$AL$56)/(ORÇAMENTO!$X$15-CÁLCULO.TotalAdmLocal)*CRONO!$F16,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SUMIF(CÁLCULO!$AM$15:$AW$56,CRONO!AD$12,CÁLCULO!$AB$15:$AL$56)/(ORÇAMENTO!$X$15-CÁLCULO.TotalAdmLocal)*CRONO!$F16,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SUMIF(CÁLCULO!$AM$15:$AW$56,CRONO!AE$12,CÁLCULO!$AB$15:$AL$56)/(ORÇAMENTO!$X$15-CÁLCULO.TotalAdmLocal)*CRONO!$F16,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SUMIF(CÁLCULO!$AM$15:$AW$56,CRONO!AF$12,CÁLCULO!$AB$15:$AL$56)/(ORÇAMENTO!$X$15-CÁLCULO.TotalAdmLocal)*CRONO!$F16,
                        0),
                 AF15*$S14),
          SUMIF(OFFSET($S16,1,0,$R14-2),($M14+1)&amp;"$",OFFSET(AF16,1,0,$R14-2)))</f>
        <v>0</v>
      </c>
      <c r="AG16" s="534"/>
    </row>
    <row r="17" spans="1:33" x14ac:dyDescent="0.2">
      <c r="A17" s="186" t="str">
        <f t="shared" ref="A17" ca="1" si="8">IF($M17&gt;1,_xlfn.CONCAT($I17," ",$J17),"")</f>
        <v>1.1. SERVIÇOS PRELIMINARES ETAPA 1</v>
      </c>
      <c r="B17" s="185">
        <f t="shared" ref="B17" ca="1" si="9">OFFSET(B17,-3,0)+1</f>
        <v>2</v>
      </c>
      <c r="C17" s="185">
        <f ca="1">IF($R17&lt;&gt;2,0,IF($S17=0,1,IF(F18&gt;0,OFFSET(QCI!$M$13,SUBSTITUTE(F18,".",""),0),OFFSET(ORÇAMENTO!$AA$15,CRONO!$F17,0))/$S17))</f>
        <v>0.11247954606298087</v>
      </c>
      <c r="D17" s="185">
        <f ca="1">IF($R17&lt;&gt;2,0,IF($S17=0,1,IF(F18&gt;0,OFFSET(QCI!$N$13,SUBSTITUTE(F18,".",""),0),OFFSET(ORÇAMENTO!$AB$15,CRONO!$F17,0))/$S17))</f>
        <v>0</v>
      </c>
      <c r="E17" s="188" cm="1">
        <f t="array" aca="1" ref="E17" ca="1">IF(AND($R17=2,ACOMPANHAMENTO="BM"),ROUND(E18,4),E19/$S17)</f>
        <v>1</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 ETAPA 1</v>
      </c>
      <c r="K17" s="191"/>
      <c r="L17" s="191"/>
      <c r="M17" s="192">
        <f ca="1">IF($F18=0,OFFSET(ORÇAMENTO!C$15,$F17,0),1)</f>
        <v>2</v>
      </c>
      <c r="N17" s="193">
        <f ca="1">IF($F18=-1,0,IF(N$13&lt;=$M17,IF(ISERROR(MATCH(N$13,OFFSET($M17,1,0,ROW($M$38)-ROW($M17)-1),0)),ROW($M$38)-ROW($M17)-1,MATCH(N$13,OFFSET($M17,1,0,ROW($M$38)-ROW($M17)-1),0)-1),0))</f>
        <v>20</v>
      </c>
      <c r="O17" s="193">
        <f ca="1">IF($F18=-1,0,IF(O$13&lt;=$M17,IF(ISERROR(MATCH(O$13,OFFSET($M17,1,0,ROW($M$38)-ROW($M17)-1),0)),ROW($M$38)-ROW($M17)-1,MATCH(O$13,OFFSET($M17,1,0,ROW($M$38)-ROW($M17)-1),0)-1),0))</f>
        <v>2</v>
      </c>
      <c r="P17" s="193">
        <f ca="1">IF($F18=-1,0,IF(P$13&lt;=$M17,IF(ISERROR(MATCH(P$13,OFFSET($M17,1,0,ROW($M$38)-ROW($M17)-1),0)),ROW($M$38)-ROW($M17)-1,MATCH(P$13,OFFSET($M17,1,0,ROW($M$38)-ROW($M17)-1),0)-1),0))</f>
        <v>0</v>
      </c>
      <c r="Q17" s="193">
        <f ca="1">IF($F18=-1,0,IF(Q$13&lt;=$M17,IF(ISERROR(MATCH(Q$13,OFFSET($M17,1,0,ROW($M$38)-ROW($M17)-1),0)),ROW($M$38)-ROW($M17)-1,MATCH(Q$13,OFFSET($M17,1,0,ROW($M$38)-ROW($M17)-1),0)-1),0))</f>
        <v>0</v>
      </c>
      <c r="R17" s="193">
        <f t="shared" ref="R17" ca="1" si="11">MIN(OFFSET(M17,0,1,,M17))</f>
        <v>2</v>
      </c>
      <c r="S17" s="194">
        <f ca="1">IF($F18=0,OFFSET(ORÇAMENTO!X$15,$F17,0),IF($F18&lt;&gt;-1,OFFSET(QCI!$O$13,$F18,0),""))</f>
        <v>11352.66</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IF(ISERROR(F17),IF(1+COUNTIF($M$13:OFFSET(M17,-1,0),1)&lt;=MAX(QCI!$D$13:$D$15),1+COUNTIF($M$13:OFFSET(M17,-1,0),1),-1),0)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SUMIF(CÁLCULO!$AM$15:$AW$56,CRONO!E$12,CÁLCULO!$AB$15:$AL$56)/(ORÇAMENTO!$X$15-CÁLCULO.TotalAdmLocal)*CRONO!$F19,
                        0),
                 E18*$S17),
          SUMIF(OFFSET($S19,1,0,$R17-2),($M17+1)&amp;"$",OFFSET(E19,1,0,$R17-2)))</f>
        <v>11352.66</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SUMIF(CÁLCULO!$AM$15:$AW$56,CRONO!U$12,CÁLCULO!$AB$15:$AL$56)/(ORÇAMENTO!$X$15-CÁLCULO.TotalAdmLocal)*CRONO!$F19,
                        0),
                 U18*$S17),
          SUMIF(OFFSET($S19,1,0,$R17-2),($M17+1)&amp;"$",OFFSET(U19,1,0,$R17-2)))</f>
        <v>11352.66</v>
      </c>
      <c r="V19" s="202" cm="1">
        <f t="array" aca="1" ref="V19" ca="1">IF($R17=2,
         IF(AND(ACOMPANHAMENTO="PLE",ISNUMBER($F17)),
                SUMIF((OFFSET(CÁLCULO!$AM$15:$AW$15,$F17,0,OFFSET(ORÇAMENTO!$D$15,CRONO!$F17,0))),CRONO!V$12,OFFSET(CÁLCULO!$AB$15:$AL$15,$F17,0,OFFSET(ORÇAMENTO!$D$15,CRONO!$F17,0)))
                +IF(AND($F19&lt;&gt;"",$F19&lt;&gt;0),
                        SUMIF(CÁLCULO!$AM$15:$AW$56,CRONO!V$12,CÁLCULO!$AB$15:$AL$56)/(ORÇAMENTO!$X$15-CÁLCULO.TotalAdmLocal)*CRONO!$F19,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SUMIF(CÁLCULO!$AM$15:$AW$56,CRONO!W$12,CÁLCULO!$AB$15:$AL$56)/(ORÇAMENTO!$X$15-CÁLCULO.TotalAdmLocal)*CRONO!$F19,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SUMIF(CÁLCULO!$AM$15:$AW$56,CRONO!X$12,CÁLCULO!$AB$15:$AL$56)/(ORÇAMENTO!$X$15-CÁLCULO.TotalAdmLocal)*CRONO!$F19,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SUMIF(CÁLCULO!$AM$15:$AW$56,CRONO!Y$12,CÁLCULO!$AB$15:$AL$56)/(ORÇAMENTO!$X$15-CÁLCULO.TotalAdmLocal)*CRONO!$F19,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SUMIF(CÁLCULO!$AM$15:$AW$56,CRONO!Z$12,CÁLCULO!$AB$15:$AL$56)/(ORÇAMENTO!$X$15-CÁLCULO.TotalAdmLocal)*CRONO!$F19,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SUMIF(CÁLCULO!$AM$15:$AW$56,CRONO!AA$12,CÁLCULO!$AB$15:$AL$56)/(ORÇAMENTO!$X$15-CÁLCULO.TotalAdmLocal)*CRONO!$F19,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SUMIF(CÁLCULO!$AM$15:$AW$56,CRONO!AB$12,CÁLCULO!$AB$15:$AL$56)/(ORÇAMENTO!$X$15-CÁLCULO.TotalAdmLocal)*CRONO!$F19,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SUMIF(CÁLCULO!$AM$15:$AW$56,CRONO!AC$12,CÁLCULO!$AB$15:$AL$56)/(ORÇAMENTO!$X$15-CÁLCULO.TotalAdmLocal)*CRONO!$F19,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SUMIF(CÁLCULO!$AM$15:$AW$56,CRONO!AD$12,CÁLCULO!$AB$15:$AL$56)/(ORÇAMENTO!$X$15-CÁLCULO.TotalAdmLocal)*CRONO!$F19,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SUMIF(CÁLCULO!$AM$15:$AW$56,CRONO!AE$12,CÁLCULO!$AB$15:$AL$56)/(ORÇAMENTO!$X$15-CÁLCULO.TotalAdmLocal)*CRONO!$F19,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SUMIF(CÁLCULO!$AM$15:$AW$56,CRONO!AF$12,CÁLCULO!$AB$15:$AL$56)/(ORÇAMENTO!$X$15-CÁLCULO.TotalAdmLocal)*CRONO!$F19,
                        0),
                 AF18*$S17),
          SUMIF(OFFSET($S19,1,0,$R17-2),($M17+1)&amp;"$",OFFSET(AF19,1,0,$R17-2)))</f>
        <v>0</v>
      </c>
      <c r="AG19" s="534"/>
    </row>
    <row r="20" spans="1:33" x14ac:dyDescent="0.2">
      <c r="A20" s="186" t="str">
        <f t="shared" ref="A20" ca="1" si="14">IF($M20&gt;1,_xlfn.CONCAT($I20," ",$J20),"")</f>
        <v>1.2. SERVIÇOS PRELIMINARES ETAPA 2</v>
      </c>
      <c r="B20" s="185">
        <f t="shared" ref="B20" ca="1" si="15">OFFSET(B20,-3,0)+1</f>
        <v>3</v>
      </c>
      <c r="C20" s="185">
        <f ca="1">IF($R20&lt;&gt;2,0,IF($S20=0,1,IF(F21&gt;0,OFFSET(QCI!$M$13,SUBSTITUTE(F21,".",""),0),OFFSET(ORÇAMENTO!$AA$15,CRONO!$F20,0))/$S20))</f>
        <v>0.11247954606298088</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6</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PRELIMINARES ETAPA 2</v>
      </c>
      <c r="K20" s="191"/>
      <c r="L20" s="191"/>
      <c r="M20" s="192">
        <f ca="1">IF($F21=0,OFFSET(ORÇAMENTO!C$15,$F20,0),1)</f>
        <v>2</v>
      </c>
      <c r="N20" s="193">
        <f ca="1">IF($F21=-1,0,IF(N$13&lt;=$M20,IF(ISERROR(MATCH(N$13,OFFSET($M20,1,0,ROW($M$38)-ROW($M20)-1),0)),ROW($M$38)-ROW($M20)-1,MATCH(N$13,OFFSET($M20,1,0,ROW($M$38)-ROW($M20)-1),0)-1),0))</f>
        <v>17</v>
      </c>
      <c r="O20" s="193">
        <f ca="1">IF($F21=-1,0,IF(O$13&lt;=$M20,IF(ISERROR(MATCH(O$13,OFFSET($M20,1,0,ROW($M$38)-ROW($M20)-1),0)),ROW($M$38)-ROW($M20)-1,MATCH(O$13,OFFSET($M20,1,0,ROW($M$38)-ROW($M20)-1),0)-1),0))</f>
        <v>2</v>
      </c>
      <c r="P20" s="193">
        <f ca="1">IF($F21=-1,0,IF(P$13&lt;=$M20,IF(ISERROR(MATCH(P$13,OFFSET($M20,1,0,ROW($M$38)-ROW($M20)-1),0)),ROW($M$38)-ROW($M20)-1,MATCH(P$13,OFFSET($M20,1,0,ROW($M$38)-ROW($M20)-1),0)-1),0))</f>
        <v>0</v>
      </c>
      <c r="Q20" s="193">
        <f ca="1">IF($F21=-1,0,IF(Q$13&lt;=$M20,IF(ISERROR(MATCH(Q$13,OFFSET($M20,1,0,ROW($M$38)-ROW($M20)-1),0)),ROW($M$38)-ROW($M20)-1,MATCH(Q$13,OFFSET($M20,1,0,ROW($M$38)-ROW($M20)-1),0)-1),0))</f>
        <v>0</v>
      </c>
      <c r="R20" s="193">
        <f t="shared" ref="R20" ca="1" si="17">MIN(OFFSET(M20,0,1,,M20))</f>
        <v>2</v>
      </c>
      <c r="S20" s="194">
        <f ca="1">IF($F21=0,OFFSET(ORÇAMENTO!X$15,$F20,0),IF($F21&lt;&gt;-1,OFFSET(QCI!$O$13,$F21,0),""))</f>
        <v>1553.3</v>
      </c>
      <c r="T20" s="195" t="s">
        <v>785</v>
      </c>
      <c r="U20" s="188" cm="1">
        <f t="array" aca="1" ref="U20" ca="1">IF(AND($R20=2,ACOMPANHAMENTO="BM"),ROUND(U21,4),U22/$S20)</f>
        <v>0</v>
      </c>
      <c r="V20" s="188" cm="1">
        <f t="array" aca="1" ref="V20" ca="1">IF(AND($R20=2,ACOMPANHAMENTO="BM"),ROUND(V21,4),V22/$S20)</f>
        <v>1</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
      <c r="E21" s="587"/>
      <c r="F21" s="185">
        <f ca="1">IF(ISERROR(F20),IF(1+COUNTIF($M$13:OFFSET(M20,-1,0),1)&lt;=MAX(QCI!$D$13:$D$15),1+COUNTIF($M$13:OFFSET(M20,-1,0),1),-1),0)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SUMIF(CÁLCULO!$AM$15:$AW$56,CRONO!E$12,CÁLCULO!$AB$15:$AL$56)/(ORÇAMENTO!$X$15-CÁLCULO.TotalAdmLocal)*CRONO!$F22,
                        0),
                 E21*$S20),
          SUMIF(OFFSET($S22,1,0,$R20-2),($M20+1)&amp;"$",OFFSET(E22,1,0,$R20-2)))</f>
        <v>0</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SUMIF(CÁLCULO!$AM$15:$AW$56,CRONO!U$12,CÁLCULO!$AB$15:$AL$56)/(ORÇAMENTO!$X$15-CÁLCULO.TotalAdmLocal)*CRONO!$F22,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SUMIF(CÁLCULO!$AM$15:$AW$56,CRONO!V$12,CÁLCULO!$AB$15:$AL$56)/(ORÇAMENTO!$X$15-CÁLCULO.TotalAdmLocal)*CRONO!$F22,
                        0),
                 V21*$S20),
          SUMIF(OFFSET($S22,1,0,$R20-2),($M20+1)&amp;"$",OFFSET(V22,1,0,$R20-2)))</f>
        <v>1553.3</v>
      </c>
      <c r="W22" s="202" cm="1">
        <f t="array" aca="1" ref="W22" ca="1">IF($R20=2,
         IF(AND(ACOMPANHAMENTO="PLE",ISNUMBER($F20)),
                SUMIF((OFFSET(CÁLCULO!$AM$15:$AW$15,$F20,0,OFFSET(ORÇAMENTO!$D$15,CRONO!$F20,0))),CRONO!W$12,OFFSET(CÁLCULO!$AB$15:$AL$15,$F20,0,OFFSET(ORÇAMENTO!$D$15,CRONO!$F20,0)))
                +IF(AND($F22&lt;&gt;"",$F22&lt;&gt;0),
                        SUMIF(CÁLCULO!$AM$15:$AW$56,CRONO!W$12,CÁLCULO!$AB$15:$AL$56)/(ORÇAMENTO!$X$15-CÁLCULO.TotalAdmLocal)*CRONO!$F22,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SUMIF(CÁLCULO!$AM$15:$AW$56,CRONO!X$12,CÁLCULO!$AB$15:$AL$56)/(ORÇAMENTO!$X$15-CÁLCULO.TotalAdmLocal)*CRONO!$F22,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SUMIF(CÁLCULO!$AM$15:$AW$56,CRONO!Y$12,CÁLCULO!$AB$15:$AL$56)/(ORÇAMENTO!$X$15-CÁLCULO.TotalAdmLocal)*CRONO!$F22,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SUMIF(CÁLCULO!$AM$15:$AW$56,CRONO!Z$12,CÁLCULO!$AB$15:$AL$56)/(ORÇAMENTO!$X$15-CÁLCULO.TotalAdmLocal)*CRONO!$F22,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SUMIF(CÁLCULO!$AM$15:$AW$56,CRONO!AA$12,CÁLCULO!$AB$15:$AL$56)/(ORÇAMENTO!$X$15-CÁLCULO.TotalAdmLocal)*CRONO!$F22,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SUMIF(CÁLCULO!$AM$15:$AW$56,CRONO!AB$12,CÁLCULO!$AB$15:$AL$56)/(ORÇAMENTO!$X$15-CÁLCULO.TotalAdmLocal)*CRONO!$F22,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SUMIF(CÁLCULO!$AM$15:$AW$56,CRONO!AC$12,CÁLCULO!$AB$15:$AL$56)/(ORÇAMENTO!$X$15-CÁLCULO.TotalAdmLocal)*CRONO!$F22,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SUMIF(CÁLCULO!$AM$15:$AW$56,CRONO!AD$12,CÁLCULO!$AB$15:$AL$56)/(ORÇAMENTO!$X$15-CÁLCULO.TotalAdmLocal)*CRONO!$F22,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SUMIF(CÁLCULO!$AM$15:$AW$56,CRONO!AE$12,CÁLCULO!$AB$15:$AL$56)/(ORÇAMENTO!$X$15-CÁLCULO.TotalAdmLocal)*CRONO!$F22,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SUMIF(CÁLCULO!$AM$15:$AW$56,CRONO!AF$12,CÁLCULO!$AB$15:$AL$56)/(ORÇAMENTO!$X$15-CÁLCULO.TotalAdmLocal)*CRONO!$F22,
                        0),
                 AF21*$S20),
          SUMIF(OFFSET($S22,1,0,$R20-2),($M20+1)&amp;"$",OFFSET(AF22,1,0,$R20-2)))</f>
        <v>0</v>
      </c>
      <c r="AG22" s="534"/>
    </row>
    <row r="23" spans="1:33" x14ac:dyDescent="0.2">
      <c r="A23" s="186" t="str">
        <f t="shared" ref="A23" ca="1" si="20">IF($M23&gt;1,_xlfn.CONCAT($I23," ",$J23),"")</f>
        <v>1.3. DRENAGEM</v>
      </c>
      <c r="B23" s="185">
        <f t="shared" ref="B23" ca="1" si="21">OFFSET(B23,-3,0)+1</f>
        <v>4</v>
      </c>
      <c r="C23" s="185">
        <f ca="1">IF($R23&lt;&gt;2,0,IF($S23=0,1,IF(F24&gt;0,OFFSET(QCI!$M$13,SUBSTITUTE(F24,".",""),0),OFFSET(ORÇAMENTO!$AA$15,CRONO!$F23,0))/$S23))</f>
        <v>0.11247954606298087</v>
      </c>
      <c r="D23" s="185">
        <f ca="1">IF($R23&lt;&gt;2,0,IF($S23=0,1,IF(F24&gt;0,OFFSET(QCI!$N$13,SUBSTITUTE(F24,".",""),0),OFFSET(ORÇAMENTO!$AB$15,CRONO!$F23,0))/$S23))</f>
        <v>0</v>
      </c>
      <c r="E23" s="188" cm="1">
        <f t="array" aca="1" ref="E23" ca="1">IF(AND($R23=2,ACOMPANHAMENTO="BM"),ROUND(E24,4),E25/$S23)</f>
        <v>1.0000000000000002</v>
      </c>
      <c r="F23" s="185" cm="1">
        <f t="array" aca="1" ref="F23" ca="1">IF(B23&lt;=ORÇAMENTO.MáximoListaCrono,MATCH(B23,ORÇAMENTO.ListaCrono,0),NA())</f>
        <v>8</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DRENAGEM</v>
      </c>
      <c r="K23" s="191"/>
      <c r="L23" s="191"/>
      <c r="M23" s="192">
        <f ca="1">IF($F24=0,OFFSET(ORÇAMENTO!C$15,$F23,0),1)</f>
        <v>2</v>
      </c>
      <c r="N23" s="193">
        <f ca="1">IF($F24=-1,0,IF(N$13&lt;=$M23,IF(ISERROR(MATCH(N$13,OFFSET($M23,1,0,ROW($M$38)-ROW($M23)-1),0)),ROW($M$38)-ROW($M23)-1,MATCH(N$13,OFFSET($M23,1,0,ROW($M$38)-ROW($M23)-1),0)-1),0))</f>
        <v>14</v>
      </c>
      <c r="O23" s="193">
        <f ca="1">IF($F24=-1,0,IF(O$13&lt;=$M23,IF(ISERROR(MATCH(O$13,OFFSET($M23,1,0,ROW($M$38)-ROW($M23)-1),0)),ROW($M$38)-ROW($M23)-1,MATCH(O$13,OFFSET($M23,1,0,ROW($M$38)-ROW($M23)-1),0)-1),0))</f>
        <v>2</v>
      </c>
      <c r="P23" s="193">
        <f ca="1">IF($F24=-1,0,IF(P$13&lt;=$M23,IF(ISERROR(MATCH(P$13,OFFSET($M23,1,0,ROW($M$38)-ROW($M23)-1),0)),ROW($M$38)-ROW($M23)-1,MATCH(P$13,OFFSET($M23,1,0,ROW($M$38)-ROW($M23)-1),0)-1),0))</f>
        <v>0</v>
      </c>
      <c r="Q23" s="193">
        <f ca="1">IF($F24=-1,0,IF(Q$13&lt;=$M23,IF(ISERROR(MATCH(Q$13,OFFSET($M23,1,0,ROW($M$38)-ROW($M23)-1),0)),ROW($M$38)-ROW($M23)-1,MATCH(Q$13,OFFSET($M23,1,0,ROW($M$38)-ROW($M23)-1),0)-1),0))</f>
        <v>0</v>
      </c>
      <c r="R23" s="193">
        <f t="shared" ref="R23" ca="1" si="23">MIN(OFFSET(M23,0,1,,M23))</f>
        <v>2</v>
      </c>
      <c r="S23" s="194">
        <f ca="1">IF($F24=0,OFFSET(ORÇAMENTO!X$15,$F23,0),IF($F24&lt;&gt;-1,OFFSET(QCI!$O$13,$F24,0),""))</f>
        <v>108695.09</v>
      </c>
      <c r="T23" s="195" t="s">
        <v>785</v>
      </c>
      <c r="U23" s="188" cm="1">
        <f t="array" aca="1" ref="U23" ca="1">IF(AND($R23=2,ACOMPANHAMENTO="BM"),ROUND(U24,4),U25/$S23)</f>
        <v>1.0000000000000002</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
      <c r="E24" s="587"/>
      <c r="F24" s="185">
        <f ca="1">IF(ISERROR(F23),IF(1+COUNTIF($M$13:OFFSET(M23,-1,0),1)&lt;=MAX(QCI!$D$13:$D$15),1+COUNTIF($M$13:OFFSET(M23,-1,0),1),-1),0)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SUMIF(CÁLCULO!$AM$15:$AW$56,CRONO!E$12,CÁLCULO!$AB$15:$AL$56)/(ORÇAMENTO!$X$15-CÁLCULO.TotalAdmLocal)*CRONO!$F25,
                        0),
                 E24*$S23),
          SUMIF(OFFSET($S25,1,0,$R23-2),($M23+1)&amp;"$",OFFSET(E25,1,0,$R23-2)))</f>
        <v>108695.09000000001</v>
      </c>
      <c r="F25" s="185">
        <f ca="1">IF(OR($R23&lt;&gt;2,AUTOEVENTO&lt;&gt;"manual",$F24&gt;0),"",
        IF(Import.TipoArredondamento="Tradicional",
              SUMIF(OFFSET(CÁLCULO!$M$15,CRONO!$F23,0,OFFSET(ORÇAMENTO!$D$15,CRONO!$F23,0)),1,OFFSET(ORÇAMENTO!$X$15,CRONO!$F23,0,OFFSET(ORÇAMENTO!$D$15,CRONO!$F23,0))),
              0))</f>
        <v>0</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SUMIF(CÁLCULO!$AM$15:$AW$56,CRONO!U$12,CÁLCULO!$AB$15:$AL$56)/(ORÇAMENTO!$X$15-CÁLCULO.TotalAdmLocal)*CRONO!$F25,
                        0),
                 U24*$S23),
          SUMIF(OFFSET($S25,1,0,$R23-2),($M23+1)&amp;"$",OFFSET(U25,1,0,$R23-2)))</f>
        <v>108695.09000000001</v>
      </c>
      <c r="V25" s="202" cm="1">
        <f t="array" aca="1" ref="V25" ca="1">IF($R23=2,
         IF(AND(ACOMPANHAMENTO="PLE",ISNUMBER($F23)),
                SUMIF((OFFSET(CÁLCULO!$AM$15:$AW$15,$F23,0,OFFSET(ORÇAMENTO!$D$15,CRONO!$F23,0))),CRONO!V$12,OFFSET(CÁLCULO!$AB$15:$AL$15,$F23,0,OFFSET(ORÇAMENTO!$D$15,CRONO!$F23,0)))
                +IF(AND($F25&lt;&gt;"",$F25&lt;&gt;0),
                        SUMIF(CÁLCULO!$AM$15:$AW$56,CRONO!V$12,CÁLCULO!$AB$15:$AL$56)/(ORÇAMENTO!$X$15-CÁLCULO.TotalAdmLocal)*CRONO!$F25,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SUMIF(CÁLCULO!$AM$15:$AW$56,CRONO!W$12,CÁLCULO!$AB$15:$AL$56)/(ORÇAMENTO!$X$15-CÁLCULO.TotalAdmLocal)*CRONO!$F25,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SUMIF(CÁLCULO!$AM$15:$AW$56,CRONO!X$12,CÁLCULO!$AB$15:$AL$56)/(ORÇAMENTO!$X$15-CÁLCULO.TotalAdmLocal)*CRONO!$F25,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SUMIF(CÁLCULO!$AM$15:$AW$56,CRONO!Y$12,CÁLCULO!$AB$15:$AL$56)/(ORÇAMENTO!$X$15-CÁLCULO.TotalAdmLocal)*CRONO!$F25,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SUMIF(CÁLCULO!$AM$15:$AW$56,CRONO!Z$12,CÁLCULO!$AB$15:$AL$56)/(ORÇAMENTO!$X$15-CÁLCULO.TotalAdmLocal)*CRONO!$F25,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SUMIF(CÁLCULO!$AM$15:$AW$56,CRONO!AA$12,CÁLCULO!$AB$15:$AL$56)/(ORÇAMENTO!$X$15-CÁLCULO.TotalAdmLocal)*CRONO!$F25,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SUMIF(CÁLCULO!$AM$15:$AW$56,CRONO!AB$12,CÁLCULO!$AB$15:$AL$56)/(ORÇAMENTO!$X$15-CÁLCULO.TotalAdmLocal)*CRONO!$F25,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SUMIF(CÁLCULO!$AM$15:$AW$56,CRONO!AC$12,CÁLCULO!$AB$15:$AL$56)/(ORÇAMENTO!$X$15-CÁLCULO.TotalAdmLocal)*CRONO!$F25,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SUMIF(CÁLCULO!$AM$15:$AW$56,CRONO!AD$12,CÁLCULO!$AB$15:$AL$56)/(ORÇAMENTO!$X$15-CÁLCULO.TotalAdmLocal)*CRONO!$F25,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SUMIF(CÁLCULO!$AM$15:$AW$56,CRONO!AE$12,CÁLCULO!$AB$15:$AL$56)/(ORÇAMENTO!$X$15-CÁLCULO.TotalAdmLocal)*CRONO!$F25,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SUMIF(CÁLCULO!$AM$15:$AW$56,CRONO!AF$12,CÁLCULO!$AB$15:$AL$56)/(ORÇAMENTO!$X$15-CÁLCULO.TotalAdmLocal)*CRONO!$F25,
                        0),
                 AF24*$S23),
          SUMIF(OFFSET($S25,1,0,$R23-2),($M23+1)&amp;"$",OFFSET(AF25,1,0,$R23-2)))</f>
        <v>0</v>
      </c>
      <c r="AG25" s="534"/>
    </row>
    <row r="26" spans="1:33" x14ac:dyDescent="0.2">
      <c r="A26" s="186" t="str">
        <f t="shared" ref="A26" ca="1" si="26">IF($M26&gt;1,_xlfn.CONCAT($I26," ",$J26),"")</f>
        <v>1.4. RECAPEAMENTO/RECUPERAÇÃO/PAVIMENTAÇÃO ASFÁLTICA - TRECHO DA RUA MARCOLINO GOMES DE OLIVEIRA</v>
      </c>
      <c r="B26" s="185">
        <f t="shared" ref="B26" ca="1" si="27">OFFSET(B26,-3,0)+1</f>
        <v>5</v>
      </c>
      <c r="C26" s="185">
        <f ca="1">IF($R26&lt;&gt;2,0,IF($S26=0,1,IF(F27&gt;0,OFFSET(QCI!$M$13,SUBSTITUTE(F27,".",""),0),OFFSET(ORÇAMENTO!$AA$15,CRONO!$F26,0))/$S26))</f>
        <v>0.11247954606298086</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18</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RECAPEAMENTO/RECUPERAÇÃO/PAVIMENTAÇÃO ASFÁLTICA - TRECHO DA RUA MARCOLINO GOMES DE OLIVEIRA</v>
      </c>
      <c r="K26" s="191"/>
      <c r="L26" s="191"/>
      <c r="M26" s="192">
        <f ca="1">IF($F27=0,OFFSET(ORÇAMENTO!C$15,$F26,0),1)</f>
        <v>2</v>
      </c>
      <c r="N26" s="193">
        <f ca="1">IF($F27=-1,0,IF(N$13&lt;=$M26,IF(ISERROR(MATCH(N$13,OFFSET($M26,1,0,ROW($M$38)-ROW($M26)-1),0)),ROW($M$38)-ROW($M26)-1,MATCH(N$13,OFFSET($M26,1,0,ROW($M$38)-ROW($M26)-1),0)-1),0))</f>
        <v>11</v>
      </c>
      <c r="O26" s="193">
        <f ca="1">IF($F27=-1,0,IF(O$13&lt;=$M26,IF(ISERROR(MATCH(O$13,OFFSET($M26,1,0,ROW($M$38)-ROW($M26)-1),0)),ROW($M$38)-ROW($M26)-1,MATCH(O$13,OFFSET($M26,1,0,ROW($M$38)-ROW($M26)-1),0)-1),0))</f>
        <v>2</v>
      </c>
      <c r="P26" s="193">
        <f ca="1">IF($F27=-1,0,IF(P$13&lt;=$M26,IF(ISERROR(MATCH(P$13,OFFSET($M26,1,0,ROW($M$38)-ROW($M26)-1),0)),ROW($M$38)-ROW($M26)-1,MATCH(P$13,OFFSET($M26,1,0,ROW($M$38)-ROW($M26)-1),0)-1),0))</f>
        <v>0</v>
      </c>
      <c r="Q26" s="193">
        <f ca="1">IF($F27=-1,0,IF(Q$13&lt;=$M26,IF(ISERROR(MATCH(Q$13,OFFSET($M26,1,0,ROW($M$38)-ROW($M26)-1),0)),ROW($M$38)-ROW($M26)-1,MATCH(Q$13,OFFSET($M26,1,0,ROW($M$38)-ROW($M26)-1),0)-1),0))</f>
        <v>0</v>
      </c>
      <c r="R26" s="193">
        <f t="shared" ref="R26" ca="1" si="29">MIN(OFFSET(M26,0,1,,M26))</f>
        <v>2</v>
      </c>
      <c r="S26" s="194">
        <f ca="1">IF($F27=0,OFFSET(ORÇAMENTO!X$15,$F26,0),IF($F27&lt;&gt;-1,OFFSET(QCI!$O$13,$F27,0),""))</f>
        <v>579709.03</v>
      </c>
      <c r="T26" s="195" t="s">
        <v>785</v>
      </c>
      <c r="U26" s="188" cm="1">
        <f t="array" aca="1" ref="U26" ca="1">IF(AND($R26=2,ACOMPANHAMENTO="BM"),ROUND(U27,4),U28/$S26)</f>
        <v>0</v>
      </c>
      <c r="V26" s="188" cm="1">
        <f t="array" aca="1" ref="V26" ca="1">IF(AND($R26=2,ACOMPANHAMENTO="BM"),ROUND(V27,4),V28/$S26)</f>
        <v>1</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IF(ISERROR(F26),IF(1+COUNTIF($M$13:OFFSET(M26,-1,0),1)&lt;=MAX(QCI!$D$13:$D$15),1+COUNTIF($M$13:OFFSET(M26,-1,0),1),-1),0)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SUMIF(CÁLCULO!$AM$15:$AW$56,CRONO!E$12,CÁLCULO!$AB$15:$AL$56)/(ORÇAMENTO!$X$15-CÁLCULO.TotalAdmLocal)*CRONO!$F28,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SUMIF(CÁLCULO!$AM$15:$AW$56,CRONO!U$12,CÁLCULO!$AB$15:$AL$56)/(ORÇAMENTO!$X$15-CÁLCULO.TotalAdmLocal)*CRONO!$F28,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SUMIF(CÁLCULO!$AM$15:$AW$56,CRONO!V$12,CÁLCULO!$AB$15:$AL$56)/(ORÇAMENTO!$X$15-CÁLCULO.TotalAdmLocal)*CRONO!$F28,
                        0),
                 V27*$S26),
          SUMIF(OFFSET($S28,1,0,$R26-2),($M26+1)&amp;"$",OFFSET(V28,1,0,$R26-2)))</f>
        <v>579709.03</v>
      </c>
      <c r="W28" s="202" cm="1">
        <f t="array" aca="1" ref="W28" ca="1">IF($R26=2,
         IF(AND(ACOMPANHAMENTO="PLE",ISNUMBER($F26)),
                SUMIF((OFFSET(CÁLCULO!$AM$15:$AW$15,$F26,0,OFFSET(ORÇAMENTO!$D$15,CRONO!$F26,0))),CRONO!W$12,OFFSET(CÁLCULO!$AB$15:$AL$15,$F26,0,OFFSET(ORÇAMENTO!$D$15,CRONO!$F26,0)))
                +IF(AND($F28&lt;&gt;"",$F28&lt;&gt;0),
                        SUMIF(CÁLCULO!$AM$15:$AW$56,CRONO!W$12,CÁLCULO!$AB$15:$AL$56)/(ORÇAMENTO!$X$15-CÁLCULO.TotalAdmLocal)*CRONO!$F28,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SUMIF(CÁLCULO!$AM$15:$AW$56,CRONO!X$12,CÁLCULO!$AB$15:$AL$56)/(ORÇAMENTO!$X$15-CÁLCULO.TotalAdmLocal)*CRONO!$F28,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SUMIF(CÁLCULO!$AM$15:$AW$56,CRONO!Y$12,CÁLCULO!$AB$15:$AL$56)/(ORÇAMENTO!$X$15-CÁLCULO.TotalAdmLocal)*CRONO!$F28,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SUMIF(CÁLCULO!$AM$15:$AW$56,CRONO!Z$12,CÁLCULO!$AB$15:$AL$56)/(ORÇAMENTO!$X$15-CÁLCULO.TotalAdmLocal)*CRONO!$F28,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SUMIF(CÁLCULO!$AM$15:$AW$56,CRONO!AA$12,CÁLCULO!$AB$15:$AL$56)/(ORÇAMENTO!$X$15-CÁLCULO.TotalAdmLocal)*CRONO!$F28,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SUMIF(CÁLCULO!$AM$15:$AW$56,CRONO!AB$12,CÁLCULO!$AB$15:$AL$56)/(ORÇAMENTO!$X$15-CÁLCULO.TotalAdmLocal)*CRONO!$F28,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SUMIF(CÁLCULO!$AM$15:$AW$56,CRONO!AC$12,CÁLCULO!$AB$15:$AL$56)/(ORÇAMENTO!$X$15-CÁLCULO.TotalAdmLocal)*CRONO!$F28,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SUMIF(CÁLCULO!$AM$15:$AW$56,CRONO!AD$12,CÁLCULO!$AB$15:$AL$56)/(ORÇAMENTO!$X$15-CÁLCULO.TotalAdmLocal)*CRONO!$F28,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SUMIF(CÁLCULO!$AM$15:$AW$56,CRONO!AE$12,CÁLCULO!$AB$15:$AL$56)/(ORÇAMENTO!$X$15-CÁLCULO.TotalAdmLocal)*CRONO!$F28,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SUMIF(CÁLCULO!$AM$15:$AW$56,CRONO!AF$12,CÁLCULO!$AB$15:$AL$56)/(ORÇAMENTO!$X$15-CÁLCULO.TotalAdmLocal)*CRONO!$F28,
                        0),
                 AF27*$S26),
          SUMIF(OFFSET($S28,1,0,$R26-2),($M26+1)&amp;"$",OFFSET(AF28,1,0,$R26-2)))</f>
        <v>0</v>
      </c>
      <c r="AG28" s="534"/>
    </row>
    <row r="29" spans="1:33" x14ac:dyDescent="0.2">
      <c r="A29" s="186" t="str">
        <f t="shared" ref="A29" ca="1" si="32">IF($M29&gt;1,_xlfn.CONCAT($I29," ",$J29),"")</f>
        <v>1.5. RECAPEAMENTO/RECUPERAÇÃO ASFÁLTICA - TRECHO DA RUA ANTÔNIO BANEDITO DE OLIVEIRA</v>
      </c>
      <c r="B29" s="185">
        <f t="shared" ref="B29" ca="1" si="33">OFFSET(B29,-3,0)+1</f>
        <v>6</v>
      </c>
      <c r="C29" s="185">
        <f ca="1">IF($R29&lt;&gt;2,0,IF($S29=0,1,IF(F30&gt;0,OFFSET(QCI!$M$13,SUBSTITUTE(F30,".",""),0),OFFSET(ORÇAMENTO!$AA$15,CRONO!$F29,0))/$S29))</f>
        <v>0.11247954606298088</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29</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RECAPEAMENTO/RECUPERAÇÃO ASFÁLTICA - TRECHO DA RUA ANTÔNIO BANEDITO DE OLIVEIRA</v>
      </c>
      <c r="K29" s="191"/>
      <c r="L29" s="191"/>
      <c r="M29" s="192">
        <f ca="1">IF($F30=0,OFFSET(ORÇAMENTO!C$15,$F29,0),1)</f>
        <v>2</v>
      </c>
      <c r="N29" s="193">
        <f ca="1">IF($F30=-1,0,IF(N$13&lt;=$M29,IF(ISERROR(MATCH(N$13,OFFSET($M29,1,0,ROW($M$38)-ROW($M29)-1),0)),ROW($M$38)-ROW($M29)-1,MATCH(N$13,OFFSET($M29,1,0,ROW($M$38)-ROW($M29)-1),0)-1),0))</f>
        <v>8</v>
      </c>
      <c r="O29" s="193">
        <f ca="1">IF($F30=-1,0,IF(O$13&lt;=$M29,IF(ISERROR(MATCH(O$13,OFFSET($M29,1,0,ROW($M$38)-ROW($M29)-1),0)),ROW($M$38)-ROW($M29)-1,MATCH(O$13,OFFSET($M29,1,0,ROW($M$38)-ROW($M29)-1),0)-1),0))</f>
        <v>2</v>
      </c>
      <c r="P29" s="193">
        <f ca="1">IF($F30=-1,0,IF(P$13&lt;=$M29,IF(ISERROR(MATCH(P$13,OFFSET($M29,1,0,ROW($M$38)-ROW($M29)-1),0)),ROW($M$38)-ROW($M29)-1,MATCH(P$13,OFFSET($M29,1,0,ROW($M$38)-ROW($M29)-1),0)-1),0))</f>
        <v>0</v>
      </c>
      <c r="Q29" s="193">
        <f ca="1">IF($F30=-1,0,IF(Q$13&lt;=$M29,IF(ISERROR(MATCH(Q$13,OFFSET($M29,1,0,ROW($M$38)-ROW($M29)-1),0)),ROW($M$38)-ROW($M29)-1,MATCH(Q$13,OFFSET($M29,1,0,ROW($M$38)-ROW($M29)-1),0)-1),0))</f>
        <v>0</v>
      </c>
      <c r="R29" s="193">
        <f t="shared" ref="R29" ca="1" si="35">MIN(OFFSET(M29,0,1,,M29))</f>
        <v>2</v>
      </c>
      <c r="S29" s="194">
        <f ca="1">IF($F30=0,OFFSET(ORÇAMENTO!X$15,$F29,0),IF($F30&lt;&gt;-1,OFFSET(QCI!$O$13,$F30,0),""))</f>
        <v>227114.05</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IF(ISERROR(F29),IF(1+COUNTIF($M$13:OFFSET(M29,-1,0),1)&lt;=MAX(QCI!$D$13:$D$15),1+COUNTIF($M$13:OFFSET(M29,-1,0),1),-1),0)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SUMIF(CÁLCULO!$AM$15:$AW$56,CRONO!E$12,CÁLCULO!$AB$15:$AL$56)/(ORÇAMENTO!$X$15-CÁLCULO.TotalAdmLocal)*CRONO!$F31,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SUMIF(CÁLCULO!$AM$15:$AW$56,CRONO!U$12,CÁLCULO!$AB$15:$AL$56)/(ORÇAMENTO!$X$15-CÁLCULO.TotalAdmLocal)*CRONO!$F31,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SUMIF(CÁLCULO!$AM$15:$AW$56,CRONO!V$12,CÁLCULO!$AB$15:$AL$56)/(ORÇAMENTO!$X$15-CÁLCULO.TotalAdmLocal)*CRONO!$F31,
                        0),
                 V30*$S29),
          SUMIF(OFFSET($S31,1,0,$R29-2),($M29+1)&amp;"$",OFFSET(V31,1,0,$R29-2)))</f>
        <v>227114.05</v>
      </c>
      <c r="W31" s="202" cm="1">
        <f t="array" aca="1" ref="W31" ca="1">IF($R29=2,
         IF(AND(ACOMPANHAMENTO="PLE",ISNUMBER($F29)),
                SUMIF((OFFSET(CÁLCULO!$AM$15:$AW$15,$F29,0,OFFSET(ORÇAMENTO!$D$15,CRONO!$F29,0))),CRONO!W$12,OFFSET(CÁLCULO!$AB$15:$AL$15,$F29,0,OFFSET(ORÇAMENTO!$D$15,CRONO!$F29,0)))
                +IF(AND($F31&lt;&gt;"",$F31&lt;&gt;0),
                        SUMIF(CÁLCULO!$AM$15:$AW$56,CRONO!W$12,CÁLCULO!$AB$15:$AL$56)/(ORÇAMENTO!$X$15-CÁLCULO.TotalAdmLocal)*CRONO!$F31,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SUMIF(CÁLCULO!$AM$15:$AW$56,CRONO!X$12,CÁLCULO!$AB$15:$AL$56)/(ORÇAMENTO!$X$15-CÁLCULO.TotalAdmLocal)*CRONO!$F31,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SUMIF(CÁLCULO!$AM$15:$AW$56,CRONO!Y$12,CÁLCULO!$AB$15:$AL$56)/(ORÇAMENTO!$X$15-CÁLCULO.TotalAdmLocal)*CRONO!$F31,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SUMIF(CÁLCULO!$AM$15:$AW$56,CRONO!Z$12,CÁLCULO!$AB$15:$AL$56)/(ORÇAMENTO!$X$15-CÁLCULO.TotalAdmLocal)*CRONO!$F31,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SUMIF(CÁLCULO!$AM$15:$AW$56,CRONO!AA$12,CÁLCULO!$AB$15:$AL$56)/(ORÇAMENTO!$X$15-CÁLCULO.TotalAdmLocal)*CRONO!$F31,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SUMIF(CÁLCULO!$AM$15:$AW$56,CRONO!AB$12,CÁLCULO!$AB$15:$AL$56)/(ORÇAMENTO!$X$15-CÁLCULO.TotalAdmLocal)*CRONO!$F31,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SUMIF(CÁLCULO!$AM$15:$AW$56,CRONO!AC$12,CÁLCULO!$AB$15:$AL$56)/(ORÇAMENTO!$X$15-CÁLCULO.TotalAdmLocal)*CRONO!$F31,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SUMIF(CÁLCULO!$AM$15:$AW$56,CRONO!AD$12,CÁLCULO!$AB$15:$AL$56)/(ORÇAMENTO!$X$15-CÁLCULO.TotalAdmLocal)*CRONO!$F31,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SUMIF(CÁLCULO!$AM$15:$AW$56,CRONO!AE$12,CÁLCULO!$AB$15:$AL$56)/(ORÇAMENTO!$X$15-CÁLCULO.TotalAdmLocal)*CRONO!$F31,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SUMIF(CÁLCULO!$AM$15:$AW$56,CRONO!AF$12,CÁLCULO!$AB$15:$AL$56)/(ORÇAMENTO!$X$15-CÁLCULO.TotalAdmLocal)*CRONO!$F31,
                        0),
                 AF30*$S29),
          SUMIF(OFFSET($S31,1,0,$R29-2),($M29+1)&amp;"$",OFFSET(AF31,1,0,$R29-2)))</f>
        <v>0</v>
      </c>
      <c r="AG31" s="534"/>
    </row>
    <row r="32" spans="1:33" x14ac:dyDescent="0.2">
      <c r="A32" s="186" t="str">
        <f t="shared" ref="A32" ca="1" si="38">IF($M32&gt;1,_xlfn.CONCAT($I32," ",$J32),"")</f>
        <v>1.6. RECAPEAMENTO/RECUPERAÇÃO ASFÁLTICA - TRECHO DA RUA ANTÔNIO MORAES ROSA</v>
      </c>
      <c r="B32" s="185">
        <f t="shared" ref="B32" ca="1" si="39">OFFSET(B32,-3,0)+1</f>
        <v>7</v>
      </c>
      <c r="C32" s="185">
        <f ca="1">IF($R32&lt;&gt;2,0,IF($S32=0,1,IF(F33&gt;0,OFFSET(QCI!$M$13,SUBSTITUTE(F33,".",""),0),OFFSET(ORÇAMENTO!$AA$15,CRONO!$F32,0))/$S32))</f>
        <v>0.11247954606298087</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34</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RECAPEAMENTO/RECUPERAÇÃO ASFÁLTICA - TRECHO DA RUA ANTÔNIO MORAES ROSA</v>
      </c>
      <c r="K32" s="191"/>
      <c r="L32" s="191"/>
      <c r="M32" s="192">
        <f ca="1">IF($F33=0,OFFSET(ORÇAMENTO!C$15,$F32,0),1)</f>
        <v>2</v>
      </c>
      <c r="N32" s="193">
        <f ca="1">IF($F33=-1,0,IF(N$13&lt;=$M32,IF(ISERROR(MATCH(N$13,OFFSET($M32,1,0,ROW($M$38)-ROW($M32)-1),0)),ROW($M$38)-ROW($M32)-1,MATCH(N$13,OFFSET($M32,1,0,ROW($M$38)-ROW($M32)-1),0)-1),0))</f>
        <v>5</v>
      </c>
      <c r="O32" s="193">
        <f ca="1">IF($F33=-1,0,IF(O$13&lt;=$M32,IF(ISERROR(MATCH(O$13,OFFSET($M32,1,0,ROW($M$38)-ROW($M32)-1),0)),ROW($M$38)-ROW($M32)-1,MATCH(O$13,OFFSET($M32,1,0,ROW($M$38)-ROW($M32)-1),0)-1),0))</f>
        <v>2</v>
      </c>
      <c r="P32" s="193">
        <f ca="1">IF($F33=-1,0,IF(P$13&lt;=$M32,IF(ISERROR(MATCH(P$13,OFFSET($M32,1,0,ROW($M$38)-ROW($M32)-1),0)),ROW($M$38)-ROW($M32)-1,MATCH(P$13,OFFSET($M32,1,0,ROW($M$38)-ROW($M32)-1),0)-1),0))</f>
        <v>0</v>
      </c>
      <c r="Q32" s="193">
        <f ca="1">IF($F33=-1,0,IF(Q$13&lt;=$M32,IF(ISERROR(MATCH(Q$13,OFFSET($M32,1,0,ROW($M$38)-ROW($M32)-1),0)),ROW($M$38)-ROW($M32)-1,MATCH(Q$13,OFFSET($M32,1,0,ROW($M$38)-ROW($M32)-1),0)-1),0))</f>
        <v>0</v>
      </c>
      <c r="R32" s="193">
        <f t="shared" ref="R32" ca="1" si="41">MIN(OFFSET(M32,0,1,,M32))</f>
        <v>2</v>
      </c>
      <c r="S32" s="194">
        <f ca="1">IF($F33=0,OFFSET(ORÇAMENTO!X$15,$F32,0),IF($F33&lt;&gt;-1,OFFSET(QCI!$O$13,$F33,0),""))</f>
        <v>150169.41</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
      <c r="E33" s="587"/>
      <c r="F33" s="185">
        <f ca="1">IF(ISERROR(F32),IF(1+COUNTIF($M$13:OFFSET(M32,-1,0),1)&lt;=MAX(QCI!$D$13:$D$15),1+COUNTIF($M$13:OFFSET(M32,-1,0),1),-1),0)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SUMIF(CÁLCULO!$AM$15:$AW$56,CRONO!E$12,CÁLCULO!$AB$15:$AL$56)/(ORÇAMENTO!$X$15-CÁLCULO.TotalAdmLocal)*CRONO!$F34,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SUMIF(CÁLCULO!$AM$15:$AW$56,CRONO!U$12,CÁLCULO!$AB$15:$AL$56)/(ORÇAMENTO!$X$15-CÁLCULO.TotalAdmLocal)*CRONO!$F34,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SUMIF(CÁLCULO!$AM$15:$AW$56,CRONO!V$12,CÁLCULO!$AB$15:$AL$56)/(ORÇAMENTO!$X$15-CÁLCULO.TotalAdmLocal)*CRONO!$F34,
                        0),
                 V33*$S32),
          SUMIF(OFFSET($S34,1,0,$R32-2),($M32+1)&amp;"$",OFFSET(V34,1,0,$R32-2)))</f>
        <v>150169.41</v>
      </c>
      <c r="W34" s="202" cm="1">
        <f t="array" aca="1" ref="W34" ca="1">IF($R32=2,
         IF(AND(ACOMPANHAMENTO="PLE",ISNUMBER($F32)),
                SUMIF((OFFSET(CÁLCULO!$AM$15:$AW$15,$F32,0,OFFSET(ORÇAMENTO!$D$15,CRONO!$F32,0))),CRONO!W$12,OFFSET(CÁLCULO!$AB$15:$AL$15,$F32,0,OFFSET(ORÇAMENTO!$D$15,CRONO!$F32,0)))
                +IF(AND($F34&lt;&gt;"",$F34&lt;&gt;0),
                        SUMIF(CÁLCULO!$AM$15:$AW$56,CRONO!W$12,CÁLCULO!$AB$15:$AL$56)/(ORÇAMENTO!$X$15-CÁLCULO.TotalAdmLocal)*CRONO!$F34,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SUMIF(CÁLCULO!$AM$15:$AW$56,CRONO!X$12,CÁLCULO!$AB$15:$AL$56)/(ORÇAMENTO!$X$15-CÁLCULO.TotalAdmLocal)*CRONO!$F34,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SUMIF(CÁLCULO!$AM$15:$AW$56,CRONO!Y$12,CÁLCULO!$AB$15:$AL$56)/(ORÇAMENTO!$X$15-CÁLCULO.TotalAdmLocal)*CRONO!$F34,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SUMIF(CÁLCULO!$AM$15:$AW$56,CRONO!Z$12,CÁLCULO!$AB$15:$AL$56)/(ORÇAMENTO!$X$15-CÁLCULO.TotalAdmLocal)*CRONO!$F34,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SUMIF(CÁLCULO!$AM$15:$AW$56,CRONO!AA$12,CÁLCULO!$AB$15:$AL$56)/(ORÇAMENTO!$X$15-CÁLCULO.TotalAdmLocal)*CRONO!$F34,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SUMIF(CÁLCULO!$AM$15:$AW$56,CRONO!AB$12,CÁLCULO!$AB$15:$AL$56)/(ORÇAMENTO!$X$15-CÁLCULO.TotalAdmLocal)*CRONO!$F34,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SUMIF(CÁLCULO!$AM$15:$AW$56,CRONO!AC$12,CÁLCULO!$AB$15:$AL$56)/(ORÇAMENTO!$X$15-CÁLCULO.TotalAdmLocal)*CRONO!$F34,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SUMIF(CÁLCULO!$AM$15:$AW$56,CRONO!AD$12,CÁLCULO!$AB$15:$AL$56)/(ORÇAMENTO!$X$15-CÁLCULO.TotalAdmLocal)*CRONO!$F34,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SUMIF(CÁLCULO!$AM$15:$AW$56,CRONO!AE$12,CÁLCULO!$AB$15:$AL$56)/(ORÇAMENTO!$X$15-CÁLCULO.TotalAdmLocal)*CRONO!$F34,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SUMIF(CÁLCULO!$AM$15:$AW$56,CRONO!AF$12,CÁLCULO!$AB$15:$AL$56)/(ORÇAMENTO!$X$15-CÁLCULO.TotalAdmLocal)*CRONO!$F34,
                        0),
                 AF33*$S32),
          SUMIF(OFFSET($S34,1,0,$R32-2),($M32+1)&amp;"$",OFFSET(AF34,1,0,$R32-2)))</f>
        <v>0</v>
      </c>
      <c r="AG34" s="534"/>
    </row>
    <row r="35" spans="1:33" x14ac:dyDescent="0.2">
      <c r="A35" s="186" t="str">
        <f ca="1">IF($M35&gt;1,_xlfn.CONCAT($I35," ",$J35),"")</f>
        <v>1.7. LEVANTAMENTO FINAL</v>
      </c>
      <c r="B35" s="185">
        <f ca="1">OFFSET(B35,-3,0)+1</f>
        <v>8</v>
      </c>
      <c r="C35" s="185">
        <f ca="1">IF($R35&lt;&gt;2,0,IF($S35=0,1,IF(F36&gt;0,OFFSET(QCI!$M$13,SUBSTITUTE(F36,".",""),0),OFFSET(ORÇAMENTO!$AA$15,CRONO!$F35,0))/$S35))</f>
        <v>0.11247954606298088</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39</v>
      </c>
      <c r="G35" s="185" t="str">
        <f ca="1">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LEVANTAMENTO FINAL</v>
      </c>
      <c r="K35" s="191"/>
      <c r="L35" s="191"/>
      <c r="M35" s="192">
        <f ca="1">IF($F36=0,OFFSET(ORÇAMENTO!C$15,$F35,0),1)</f>
        <v>2</v>
      </c>
      <c r="N35" s="193">
        <f ca="1">IF($F36=-1,0,IF(N$13&lt;=$M35,IF(ISERROR(MATCH(N$13,OFFSET($M35,1,0,ROW($M$38)-ROW($M35)-1),0)),ROW($M$38)-ROW($M35)-1,MATCH(N$13,OFFSET($M35,1,0,ROW($M$38)-ROW($M35)-1),0)-1),0))</f>
        <v>2</v>
      </c>
      <c r="O35" s="193">
        <f ca="1">IF($F36=-1,0,IF(O$13&lt;=$M35,IF(ISERROR(MATCH(O$13,OFFSET($M35,1,0,ROW($M$38)-ROW($M35)-1),0)),ROW($M$38)-ROW($M35)-1,MATCH(O$13,OFFSET($M35,1,0,ROW($M$38)-ROW($M35)-1),0)-1),0))</f>
        <v>2</v>
      </c>
      <c r="P35" s="193">
        <f ca="1">IF($F36=-1,0,IF(P$13&lt;=$M35,IF(ISERROR(MATCH(P$13,OFFSET($M35,1,0,ROW($M$38)-ROW($M35)-1),0)),ROW($M$38)-ROW($M35)-1,MATCH(P$13,OFFSET($M35,1,0,ROW($M$38)-ROW($M35)-1),0)-1),0))</f>
        <v>0</v>
      </c>
      <c r="Q35" s="193">
        <f ca="1">IF($F36=-1,0,IF(Q$13&lt;=$M35,IF(ISERROR(MATCH(Q$13,OFFSET($M35,1,0,ROW($M$38)-ROW($M35)-1),0)),ROW($M$38)-ROW($M35)-1,MATCH(Q$13,OFFSET($M35,1,0,ROW($M$38)-ROW($M35)-1),0)-1),0))</f>
        <v>0</v>
      </c>
      <c r="R35" s="193">
        <f ca="1">MIN(OFFSET(M35,0,1,,M35))</f>
        <v>2</v>
      </c>
      <c r="S35" s="194">
        <f ca="1">IF($F36=0,OFFSET(ORÇAMENTO!X$15,$F35,0),IF($F36&lt;&gt;-1,OFFSET(QCI!$O$13,$F36,0),""))</f>
        <v>3093.08</v>
      </c>
      <c r="T35" s="195" t="s">
        <v>785</v>
      </c>
      <c r="U35" s="188" cm="1">
        <f t="array" aca="1" ref="U35" ca="1">IF(AND($R35=2,ACOMPANHAMENTO="BM"),ROUND(U36,4),U37/$S35)</f>
        <v>0</v>
      </c>
      <c r="V35" s="188" cm="1">
        <f t="array" aca="1" ref="V35" ca="1">IF(AND($R35=2,ACOMPANHAMENTO="BM"),ROUND(V36,4),V37/$S35)</f>
        <v>1</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hidden="1" customHeight="1" x14ac:dyDescent="0.2">
      <c r="E36" s="587"/>
      <c r="F36" s="185">
        <f ca="1">IF(ISERROR(F35),IF(1+COUNTIF($M$13:OFFSET(M35,-1,0),1)&lt;=MAX(QCI!$D$13:$D$15),1+COUNTIF($M$13:OFFSET(M35,-1,0),1),-1),0)</f>
        <v>0</v>
      </c>
      <c r="G36" s="185" t="str" cm="1">
        <f t="array" aca="1" ref="G36" ca="1">IF(ACOMPANHAMENTO="BM",OFFSET(G36,-1,0),"")</f>
        <v/>
      </c>
      <c r="H36" s="196" t="str" cm="1">
        <f t="array" aca="1" ref="H36" ca="1">IF(OR(S35=0,S35=""),"vazia",IF(AND(OR(ACOMPANHAMENTO="PLE",$R35&lt;&gt;2),$F36=0),"calculada","--&gt;"))</f>
        <v>calculada</v>
      </c>
      <c r="I36" s="197"/>
      <c r="J36" s="198" t="str">
        <f ca="1">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SUMIF(CÁLCULO!$AM$15:$AW$56,CRONO!E$12,CÁLCULO!$AB$15:$AL$56)/(ORÇAMENTO!$X$15-CÁLCULO.TotalAdmLocal)*CRONO!$F37,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203"/>
      <c r="S37" s="204" t="str">
        <f ca="1">M35&amp;"$"</f>
        <v>2$</v>
      </c>
      <c r="T37" s="205"/>
      <c r="U37" s="202" cm="1">
        <f t="array" aca="1" ref="U37" ca="1">IF($R35=2,
         IF(AND(ACOMPANHAMENTO="PLE",ISNUMBER($F35)),
                SUMIF((OFFSET(CÁLCULO!$AM$15:$AW$15,$F35,0,OFFSET(ORÇAMENTO!$D$15,CRONO!$F35,0))),CRONO!U$12,OFFSET(CÁLCULO!$AB$15:$AL$15,$F35,0,OFFSET(ORÇAMENTO!$D$15,CRONO!$F35,0)))
                +IF(AND($F37&lt;&gt;"",$F37&lt;&gt;0),
                        SUMIF(CÁLCULO!$AM$15:$AW$56,CRONO!U$12,CÁLCULO!$AB$15:$AL$56)/(ORÇAMENTO!$X$15-CÁLCULO.TotalAdmLocal)*CRONO!$F37,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SUMIF(CÁLCULO!$AM$15:$AW$56,CRONO!V$12,CÁLCULO!$AB$15:$AL$56)/(ORÇAMENTO!$X$15-CÁLCULO.TotalAdmLocal)*CRONO!$F37,
                        0),
                 V36*$S35),
          SUMIF(OFFSET($S37,1,0,$R35-2),($M35+1)&amp;"$",OFFSET(V37,1,0,$R35-2)))</f>
        <v>3093.08</v>
      </c>
      <c r="W37" s="202" cm="1">
        <f t="array" aca="1" ref="W37" ca="1">IF($R35=2,
         IF(AND(ACOMPANHAMENTO="PLE",ISNUMBER($F35)),
                SUMIF((OFFSET(CÁLCULO!$AM$15:$AW$15,$F35,0,OFFSET(ORÇAMENTO!$D$15,CRONO!$F35,0))),CRONO!W$12,OFFSET(CÁLCULO!$AB$15:$AL$15,$F35,0,OFFSET(ORÇAMENTO!$D$15,CRONO!$F35,0)))
                +IF(AND($F37&lt;&gt;"",$F37&lt;&gt;0),
                        SUMIF(CÁLCULO!$AM$15:$AW$56,CRONO!W$12,CÁLCULO!$AB$15:$AL$56)/(ORÇAMENTO!$X$15-CÁLCULO.TotalAdmLocal)*CRONO!$F37,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SUMIF(CÁLCULO!$AM$15:$AW$56,CRONO!X$12,CÁLCULO!$AB$15:$AL$56)/(ORÇAMENTO!$X$15-CÁLCULO.TotalAdmLocal)*CRONO!$F37,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SUMIF(CÁLCULO!$AM$15:$AW$56,CRONO!Y$12,CÁLCULO!$AB$15:$AL$56)/(ORÇAMENTO!$X$15-CÁLCULO.TotalAdmLocal)*CRONO!$F37,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SUMIF(CÁLCULO!$AM$15:$AW$56,CRONO!Z$12,CÁLCULO!$AB$15:$AL$56)/(ORÇAMENTO!$X$15-CÁLCULO.TotalAdmLocal)*CRONO!$F37,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SUMIF(CÁLCULO!$AM$15:$AW$56,CRONO!AA$12,CÁLCULO!$AB$15:$AL$56)/(ORÇAMENTO!$X$15-CÁLCULO.TotalAdmLocal)*CRONO!$F37,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SUMIF(CÁLCULO!$AM$15:$AW$56,CRONO!AB$12,CÁLCULO!$AB$15:$AL$56)/(ORÇAMENTO!$X$15-CÁLCULO.TotalAdmLocal)*CRONO!$F37,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SUMIF(CÁLCULO!$AM$15:$AW$56,CRONO!AC$12,CÁLCULO!$AB$15:$AL$56)/(ORÇAMENTO!$X$15-CÁLCULO.TotalAdmLocal)*CRONO!$F37,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SUMIF(CÁLCULO!$AM$15:$AW$56,CRONO!AD$12,CÁLCULO!$AB$15:$AL$56)/(ORÇAMENTO!$X$15-CÁLCULO.TotalAdmLocal)*CRONO!$F37,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SUMIF(CÁLCULO!$AM$15:$AW$56,CRONO!AE$12,CÁLCULO!$AB$15:$AL$56)/(ORÇAMENTO!$X$15-CÁLCULO.TotalAdmLocal)*CRONO!$F37,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SUMIF(CÁLCULO!$AM$15:$AW$56,CRONO!AF$12,CÁLCULO!$AB$15:$AL$56)/(ORÇAMENTO!$X$15-CÁLCULO.TotalAdmLocal)*CRONO!$F37,
                        0),
                 AF36*$S35),
          SUMIF(OFFSET($S37,1,0,$R35-2),($M35+1)&amp;"$",OFFSET(AF37,1,0,$R35-2)))</f>
        <v>0</v>
      </c>
      <c r="AG37" s="534"/>
    </row>
    <row r="38" spans="1:33" ht="5.0999999999999996" customHeight="1" x14ac:dyDescent="0.2">
      <c r="E38" s="640"/>
      <c r="G38" s="185" t="s">
        <v>536</v>
      </c>
      <c r="H38" s="432"/>
      <c r="I38" s="641"/>
      <c r="J38" s="642"/>
      <c r="K38" s="642"/>
      <c r="L38" s="642"/>
      <c r="M38" s="643" t="s">
        <v>797</v>
      </c>
      <c r="N38" s="643"/>
      <c r="O38" s="643"/>
      <c r="P38" s="643"/>
      <c r="Q38" s="643"/>
      <c r="R38" s="643"/>
      <c r="S38" s="644"/>
      <c r="T38" s="644"/>
      <c r="U38" s="642"/>
      <c r="V38" s="642"/>
      <c r="W38" s="642"/>
      <c r="X38" s="642"/>
      <c r="Y38" s="642"/>
      <c r="Z38" s="642"/>
      <c r="AA38" s="642"/>
      <c r="AB38" s="642"/>
      <c r="AC38" s="642"/>
      <c r="AD38" s="642"/>
      <c r="AE38" s="642"/>
      <c r="AF38" s="642"/>
      <c r="AG38" s="534"/>
    </row>
    <row r="39" spans="1:33" ht="12.75" customHeight="1" x14ac:dyDescent="0.2">
      <c r="E39" s="528">
        <f ca="1">E43/$R$39</f>
        <v>0.11098200512085468</v>
      </c>
      <c r="G39" s="185" t="s">
        <v>536</v>
      </c>
      <c r="I39" s="786" t="str">
        <f ca="1">"Total:    R$ "&amp;TEXT(R39,"#.##0,00")</f>
        <v>Total:    R$ 1.081.686,62</v>
      </c>
      <c r="J39" s="786"/>
      <c r="K39" s="786"/>
      <c r="L39" s="227"/>
      <c r="R39" s="228">
        <f ca="1">SUMIF(M12:M38,1,S12:S38)</f>
        <v>1081686.6200000001</v>
      </c>
      <c r="S39" s="229"/>
      <c r="T39" s="230" t="s">
        <v>798</v>
      </c>
      <c r="U39" s="528">
        <f t="shared" ref="U39:AF39" ca="1" si="44">ROUND(U43,2)/$R$39</f>
        <v>0.11098200512085468</v>
      </c>
      <c r="V39" s="528">
        <f t="shared" ca="1" si="44"/>
        <v>0.88901799487914523</v>
      </c>
      <c r="W39" s="528">
        <f t="shared" ca="1" si="44"/>
        <v>0</v>
      </c>
      <c r="X39" s="528">
        <f t="shared" ca="1" si="44"/>
        <v>0</v>
      </c>
      <c r="Y39" s="528">
        <f t="shared" ca="1" si="44"/>
        <v>0</v>
      </c>
      <c r="Z39" s="528">
        <f t="shared" ca="1" si="44"/>
        <v>0</v>
      </c>
      <c r="AA39" s="528">
        <f t="shared" ca="1" si="44"/>
        <v>0</v>
      </c>
      <c r="AB39" s="528">
        <f t="shared" ca="1" si="44"/>
        <v>0</v>
      </c>
      <c r="AC39" s="528">
        <f t="shared" ca="1" si="44"/>
        <v>0</v>
      </c>
      <c r="AD39" s="528">
        <f t="shared" ca="1" si="44"/>
        <v>0</v>
      </c>
      <c r="AE39" s="528">
        <f t="shared" ca="1" si="44"/>
        <v>0</v>
      </c>
      <c r="AF39" s="539">
        <f t="shared" ca="1" si="44"/>
        <v>0</v>
      </c>
      <c r="AG39" s="534"/>
    </row>
    <row r="40" spans="1:33" ht="15" customHeight="1" x14ac:dyDescent="0.2">
      <c r="E40" s="231">
        <f ca="1">IF(E$12=1,ROUND(E45,2),ROUND(E45,2)-ROUND(D45,2))</f>
        <v>106544.83</v>
      </c>
      <c r="G40" s="185" t="s">
        <v>536</v>
      </c>
      <c r="I40" s="786"/>
      <c r="J40" s="786"/>
      <c r="K40" s="786"/>
      <c r="L40" s="232"/>
      <c r="R40" s="228"/>
      <c r="S40" s="233"/>
      <c r="T40" s="234" t="str">
        <f>IF(import.recurso="FGTS","Financiamento:","Repasse:")</f>
        <v>Repasse:</v>
      </c>
      <c r="U40" s="231">
        <f t="shared" ref="U40:AF40" ca="1" si="45">IF(U$12=1,ROUND(U45,2),ROUND(U45,2)-ROUND(T45,2))</f>
        <v>106544.83</v>
      </c>
      <c r="V40" s="231">
        <f t="shared" ca="1" si="45"/>
        <v>853474.17</v>
      </c>
      <c r="W40" s="231">
        <f t="shared" ca="1" si="45"/>
        <v>0</v>
      </c>
      <c r="X40" s="231">
        <f t="shared" ca="1" si="45"/>
        <v>0</v>
      </c>
      <c r="Y40" s="231">
        <f t="shared" ca="1" si="45"/>
        <v>0</v>
      </c>
      <c r="Z40" s="231">
        <f t="shared" ca="1" si="45"/>
        <v>0</v>
      </c>
      <c r="AA40" s="231">
        <f t="shared" ca="1" si="45"/>
        <v>0</v>
      </c>
      <c r="AB40" s="231">
        <f t="shared" ca="1" si="45"/>
        <v>0</v>
      </c>
      <c r="AC40" s="231">
        <f t="shared" ca="1" si="45"/>
        <v>0</v>
      </c>
      <c r="AD40" s="231">
        <f t="shared" ca="1" si="45"/>
        <v>0</v>
      </c>
      <c r="AE40" s="231">
        <f t="shared" ca="1" si="45"/>
        <v>0</v>
      </c>
      <c r="AF40" s="231">
        <f t="shared" ca="1" si="45"/>
        <v>0</v>
      </c>
      <c r="AG40" s="534"/>
    </row>
    <row r="41" spans="1:33" ht="12.75" customHeight="1" x14ac:dyDescent="0.2">
      <c r="E41" s="529">
        <f ca="1">IF(E$12=1,ROUND(E46,2),ROUND(E46,2)-ROUND(D46,2))</f>
        <v>13502.92</v>
      </c>
      <c r="G41" s="185" t="s">
        <v>536</v>
      </c>
      <c r="I41" s="235"/>
      <c r="L41" s="236" t="s">
        <v>799</v>
      </c>
      <c r="R41" s="228"/>
      <c r="S41" s="237"/>
      <c r="T41" s="238" t="s">
        <v>800</v>
      </c>
      <c r="U41" s="529">
        <f t="shared" ref="U41:AF41" ca="1" si="46">IF(U$12=1,ROUND(U46,2),ROUND(U46,2)-ROUND(T46,2))</f>
        <v>13502.92</v>
      </c>
      <c r="V41" s="529">
        <f t="shared" ca="1" si="46"/>
        <v>108164.7</v>
      </c>
      <c r="W41" s="529">
        <f t="shared" ca="1" si="46"/>
        <v>0</v>
      </c>
      <c r="X41" s="529">
        <f t="shared" ca="1" si="46"/>
        <v>0</v>
      </c>
      <c r="Y41" s="529">
        <f t="shared" ca="1" si="46"/>
        <v>0</v>
      </c>
      <c r="Z41" s="529">
        <f t="shared" ca="1" si="46"/>
        <v>0</v>
      </c>
      <c r="AA41" s="529">
        <f t="shared" ca="1" si="46"/>
        <v>0</v>
      </c>
      <c r="AB41" s="529">
        <f t="shared" ca="1" si="46"/>
        <v>0</v>
      </c>
      <c r="AC41" s="529">
        <f t="shared" ca="1" si="46"/>
        <v>0</v>
      </c>
      <c r="AD41" s="529">
        <f t="shared" ca="1" si="46"/>
        <v>0</v>
      </c>
      <c r="AE41" s="529">
        <f t="shared" ca="1" si="46"/>
        <v>0</v>
      </c>
      <c r="AF41" s="529">
        <f t="shared" ca="1" si="46"/>
        <v>0</v>
      </c>
      <c r="AG41" s="534"/>
    </row>
    <row r="42" spans="1:33" x14ac:dyDescent="0.2">
      <c r="E42" s="239">
        <f ca="1">IF(E$12=1,ROUND(E47,2),ROUND(E47,2)-ROUND(D47,2))</f>
        <v>0</v>
      </c>
      <c r="G42" s="185" t="s">
        <v>536</v>
      </c>
      <c r="I42" s="235"/>
      <c r="L42" s="236"/>
      <c r="R42" s="228"/>
      <c r="S42" s="240"/>
      <c r="T42" s="241" t="s">
        <v>801</v>
      </c>
      <c r="U42" s="239">
        <f t="shared" ref="U42:AF42" ca="1" si="47">IF(U$12=1,ROUND(U47,2),ROUND(U47,2)-ROUND(T47,2))</f>
        <v>0</v>
      </c>
      <c r="V42" s="239">
        <f t="shared" ca="1" si="47"/>
        <v>0</v>
      </c>
      <c r="W42" s="239">
        <f t="shared" ca="1" si="47"/>
        <v>0</v>
      </c>
      <c r="X42" s="239">
        <f t="shared" ca="1" si="47"/>
        <v>0</v>
      </c>
      <c r="Y42" s="239">
        <f t="shared" ca="1" si="47"/>
        <v>0</v>
      </c>
      <c r="Z42" s="239">
        <f t="shared" ca="1" si="47"/>
        <v>0</v>
      </c>
      <c r="AA42" s="239">
        <f t="shared" ca="1" si="47"/>
        <v>0</v>
      </c>
      <c r="AB42" s="239">
        <f t="shared" ca="1" si="47"/>
        <v>0</v>
      </c>
      <c r="AC42" s="239">
        <f t="shared" ca="1" si="47"/>
        <v>0</v>
      </c>
      <c r="AD42" s="239">
        <f t="shared" ca="1" si="47"/>
        <v>0</v>
      </c>
      <c r="AE42" s="239">
        <f t="shared" ca="1" si="47"/>
        <v>0</v>
      </c>
      <c r="AF42" s="239">
        <f t="shared" ca="1" si="47"/>
        <v>0</v>
      </c>
      <c r="AG42" s="534"/>
    </row>
    <row r="43" spans="1:33" x14ac:dyDescent="0.2">
      <c r="E43" s="530">
        <f ca="1">IF(E$12=1,ROUND(E48,2),ROUND(E48,2)-ROUND(D48,2))</f>
        <v>120047.75</v>
      </c>
      <c r="G43" s="185" t="s">
        <v>536</v>
      </c>
      <c r="H43" s="536"/>
      <c r="L43" s="242"/>
      <c r="S43" s="243"/>
      <c r="T43" s="244" t="s">
        <v>802</v>
      </c>
      <c r="U43" s="530">
        <f t="shared" ref="U43:AF43" ca="1" si="48">IF(U$12=1,ROUND(U48,2),ROUND(U48,2)-ROUND(T48,2))</f>
        <v>120047.75</v>
      </c>
      <c r="V43" s="530">
        <f t="shared" ca="1" si="48"/>
        <v>961638.87000000011</v>
      </c>
      <c r="W43" s="530">
        <f t="shared" ca="1" si="48"/>
        <v>0</v>
      </c>
      <c r="X43" s="530">
        <f t="shared" ca="1" si="48"/>
        <v>0</v>
      </c>
      <c r="Y43" s="530">
        <f t="shared" ca="1" si="48"/>
        <v>0</v>
      </c>
      <c r="Z43" s="530">
        <f t="shared" ca="1" si="48"/>
        <v>0</v>
      </c>
      <c r="AA43" s="530">
        <f t="shared" ca="1" si="48"/>
        <v>0</v>
      </c>
      <c r="AB43" s="530">
        <f t="shared" ca="1" si="48"/>
        <v>0</v>
      </c>
      <c r="AC43" s="530">
        <f t="shared" ca="1" si="48"/>
        <v>0</v>
      </c>
      <c r="AD43" s="530">
        <f t="shared" ca="1" si="48"/>
        <v>0</v>
      </c>
      <c r="AE43" s="530">
        <f t="shared" ca="1" si="48"/>
        <v>0</v>
      </c>
      <c r="AF43" s="530">
        <f t="shared" ca="1" si="48"/>
        <v>0</v>
      </c>
      <c r="AG43" s="534"/>
    </row>
    <row r="44" spans="1:33" x14ac:dyDescent="0.2">
      <c r="E44" s="528">
        <f ca="1">ROUND(ROUND(E48,2)/$R$39,4)</f>
        <v>0.111</v>
      </c>
      <c r="G44" s="185" t="s">
        <v>536</v>
      </c>
      <c r="L44" s="227"/>
      <c r="S44" s="229"/>
      <c r="T44" s="230" t="s">
        <v>798</v>
      </c>
      <c r="U44" s="528">
        <f t="shared" ref="U44:AF44" ca="1" si="49">ROUND(ROUND(U48,2)/$R$39,4)</f>
        <v>0.111</v>
      </c>
      <c r="V44" s="528">
        <f t="shared" ca="1" si="49"/>
        <v>1</v>
      </c>
      <c r="W44" s="528">
        <f t="shared" ca="1" si="49"/>
        <v>1</v>
      </c>
      <c r="X44" s="528">
        <f t="shared" ca="1" si="49"/>
        <v>1</v>
      </c>
      <c r="Y44" s="528">
        <f t="shared" ca="1" si="49"/>
        <v>1</v>
      </c>
      <c r="Z44" s="528">
        <f t="shared" ca="1" si="49"/>
        <v>1</v>
      </c>
      <c r="AA44" s="528">
        <f t="shared" ca="1" si="49"/>
        <v>1</v>
      </c>
      <c r="AB44" s="528">
        <f t="shared" ca="1" si="49"/>
        <v>1</v>
      </c>
      <c r="AC44" s="528">
        <f t="shared" ca="1" si="49"/>
        <v>1</v>
      </c>
      <c r="AD44" s="528">
        <f t="shared" ca="1" si="49"/>
        <v>1</v>
      </c>
      <c r="AE44" s="528">
        <f t="shared" ca="1" si="49"/>
        <v>1</v>
      </c>
      <c r="AF44" s="528">
        <f t="shared" ca="1" si="49"/>
        <v>1</v>
      </c>
      <c r="AG44" s="534"/>
    </row>
    <row r="45" spans="1:33" x14ac:dyDescent="0.2">
      <c r="E45" s="231">
        <f ca="1">ROUND(E48-E47-E46,2)</f>
        <v>106544.83</v>
      </c>
      <c r="G45" s="185" t="s">
        <v>536</v>
      </c>
      <c r="L45" s="232"/>
      <c r="S45" s="233"/>
      <c r="T45" s="234" t="str">
        <f>IF(import.recurso="FGTS","Financiamento:","Repasse:")</f>
        <v>Repasse:</v>
      </c>
      <c r="U45" s="231">
        <f t="shared" ref="U45:AF45" ca="1" si="50">ROUND(U48-U47-U46,2)</f>
        <v>106544.83</v>
      </c>
      <c r="V45" s="231">
        <f t="shared" ca="1" si="50"/>
        <v>960019</v>
      </c>
      <c r="W45" s="231">
        <f t="shared" ca="1" si="50"/>
        <v>960019</v>
      </c>
      <c r="X45" s="231">
        <f t="shared" ca="1" si="50"/>
        <v>960019</v>
      </c>
      <c r="Y45" s="231">
        <f t="shared" ca="1" si="50"/>
        <v>960019</v>
      </c>
      <c r="Z45" s="231">
        <f t="shared" ca="1" si="50"/>
        <v>960019</v>
      </c>
      <c r="AA45" s="231">
        <f t="shared" ca="1" si="50"/>
        <v>960019</v>
      </c>
      <c r="AB45" s="231">
        <f t="shared" ca="1" si="50"/>
        <v>960019</v>
      </c>
      <c r="AC45" s="231">
        <f t="shared" ca="1" si="50"/>
        <v>960019</v>
      </c>
      <c r="AD45" s="231">
        <f t="shared" ca="1" si="50"/>
        <v>960019</v>
      </c>
      <c r="AE45" s="231">
        <f t="shared" ca="1" si="50"/>
        <v>960019</v>
      </c>
      <c r="AF45" s="231">
        <f t="shared" ca="1" si="50"/>
        <v>960019</v>
      </c>
      <c r="AG45" s="534"/>
    </row>
    <row r="46" spans="1:33" x14ac:dyDescent="0.2">
      <c r="E46" s="529" cm="1">
        <f t="array" aca="1" ref="E46" ca="1">IF(E$12=1,0,OFFSET(E46,0,-1))+SUM((OFFSET($C$13,1,0):OFFSET($C$38,-3,0))*IF(ISNUMBER(OFFSET(E$11,5,0):OFFSET(E$38,-1,0)),OFFSET(E$11,5,0):OFFSET(E$38,-1,0),0))</f>
        <v>13502.916425882213</v>
      </c>
      <c r="G46" s="185" t="s">
        <v>536</v>
      </c>
      <c r="L46" s="236" t="s">
        <v>803</v>
      </c>
      <c r="S46" s="237"/>
      <c r="T46" s="238" t="s">
        <v>800</v>
      </c>
      <c r="U46" s="529" cm="1">
        <f t="array" aca="1" ref="U46" ca="1">IF(U$12=1,0,OFFSET(U46,0,-1))+SUM((OFFSET($C$13,1,0):OFFSET($C$38,-3,0))*IF(ISNUMBER(OFFSET(U$11,5,0):OFFSET(U$38,-1,0)),OFFSET(U$11,5,0):OFFSET(U$38,-1,0),0))</f>
        <v>13502.916425882213</v>
      </c>
      <c r="V46" s="529" cm="1">
        <f t="array" aca="1" ref="V46" ca="1">IF(V$12=1,0,OFFSET(V46,0,-1))+SUM((OFFSET($C$13,1,0):OFFSET($C$38,-3,0))*IF(ISNUMBER(OFFSET(V$11,5,0):OFFSET(V$38,-1,0)),OFFSET(V$11,5,0):OFFSET(V$38,-1,0),0))</f>
        <v>121667.62000000008</v>
      </c>
      <c r="W46" s="529" cm="1">
        <f t="array" aca="1" ref="W46" ca="1">IF(W$12=1,0,OFFSET(W46,0,-1))+SUM((OFFSET($C$13,1,0):OFFSET($C$38,-3,0))*IF(ISNUMBER(OFFSET(W$11,5,0):OFFSET(W$38,-1,0)),OFFSET(W$11,5,0):OFFSET(W$38,-1,0),0))</f>
        <v>121667.62000000008</v>
      </c>
      <c r="X46" s="529" cm="1">
        <f t="array" aca="1" ref="X46" ca="1">IF(X$12=1,0,OFFSET(X46,0,-1))+SUM((OFFSET($C$13,1,0):OFFSET($C$38,-3,0))*IF(ISNUMBER(OFFSET(X$11,5,0):OFFSET(X$38,-1,0)),OFFSET(X$11,5,0):OFFSET(X$38,-1,0),0))</f>
        <v>121667.62000000008</v>
      </c>
      <c r="Y46" s="529" cm="1">
        <f t="array" aca="1" ref="Y46" ca="1">IF(Y$12=1,0,OFFSET(Y46,0,-1))+SUM((OFFSET($C$13,1,0):OFFSET($C$38,-3,0))*IF(ISNUMBER(OFFSET(Y$11,5,0):OFFSET(Y$38,-1,0)),OFFSET(Y$11,5,0):OFFSET(Y$38,-1,0),0))</f>
        <v>121667.62000000008</v>
      </c>
      <c r="Z46" s="529" cm="1">
        <f t="array" aca="1" ref="Z46" ca="1">IF(Z$12=1,0,OFFSET(Z46,0,-1))+SUM((OFFSET($C$13,1,0):OFFSET($C$38,-3,0))*IF(ISNUMBER(OFFSET(Z$11,5,0):OFFSET(Z$38,-1,0)),OFFSET(Z$11,5,0):OFFSET(Z$38,-1,0),0))</f>
        <v>121667.62000000008</v>
      </c>
      <c r="AA46" s="529" cm="1">
        <f t="array" aca="1" ref="AA46" ca="1">IF(AA$12=1,0,OFFSET(AA46,0,-1))+SUM((OFFSET($C$13,1,0):OFFSET($C$38,-3,0))*IF(ISNUMBER(OFFSET(AA$11,5,0):OFFSET(AA$38,-1,0)),OFFSET(AA$11,5,0):OFFSET(AA$38,-1,0),0))</f>
        <v>121667.62000000008</v>
      </c>
      <c r="AB46" s="529" cm="1">
        <f t="array" aca="1" ref="AB46" ca="1">IF(AB$12=1,0,OFFSET(AB46,0,-1))+SUM((OFFSET($C$13,1,0):OFFSET($C$38,-3,0))*IF(ISNUMBER(OFFSET(AB$11,5,0):OFFSET(AB$38,-1,0)),OFFSET(AB$11,5,0):OFFSET(AB$38,-1,0),0))</f>
        <v>121667.62000000008</v>
      </c>
      <c r="AC46" s="529" cm="1">
        <f t="array" aca="1" ref="AC46" ca="1">IF(AC$12=1,0,OFFSET(AC46,0,-1))+SUM((OFFSET($C$13,1,0):OFFSET($C$38,-3,0))*IF(ISNUMBER(OFFSET(AC$11,5,0):OFFSET(AC$38,-1,0)),OFFSET(AC$11,5,0):OFFSET(AC$38,-1,0),0))</f>
        <v>121667.62000000008</v>
      </c>
      <c r="AD46" s="529" cm="1">
        <f t="array" aca="1" ref="AD46" ca="1">IF(AD$12=1,0,OFFSET(AD46,0,-1))+SUM((OFFSET($C$13,1,0):OFFSET($C$38,-3,0))*IF(ISNUMBER(OFFSET(AD$11,5,0):OFFSET(AD$38,-1,0)),OFFSET(AD$11,5,0):OFFSET(AD$38,-1,0),0))</f>
        <v>121667.62000000008</v>
      </c>
      <c r="AE46" s="529" cm="1">
        <f t="array" aca="1" ref="AE46" ca="1">IF(AE$12=1,0,OFFSET(AE46,0,-1))+SUM((OFFSET($C$13,1,0):OFFSET($C$38,-3,0))*IF(ISNUMBER(OFFSET(AE$11,5,0):OFFSET(AE$38,-1,0)),OFFSET(AE$11,5,0):OFFSET(AE$38,-1,0),0))</f>
        <v>121667.62000000008</v>
      </c>
      <c r="AF46" s="529" cm="1">
        <f t="array" aca="1" ref="AF46" ca="1">IF(AF$12=1,0,OFFSET(AF46,0,-1))+SUM((OFFSET($C$13,1,0):OFFSET($C$38,-3,0))*IF(ISNUMBER(OFFSET(AF$11,5,0):OFFSET(AF$38,-1,0)),OFFSET(AF$11,5,0):OFFSET(AF$38,-1,0),0))</f>
        <v>121667.62000000008</v>
      </c>
      <c r="AG46" s="534"/>
    </row>
    <row r="47" spans="1:33" x14ac:dyDescent="0.2">
      <c r="E47" s="239" cm="1">
        <f t="array" aca="1" ref="E47" ca="1">IF(E$12=1,0,OFFSET(E47,0,-1))+SUM((OFFSET($D$13,1,0):OFFSET($D$38,-3,0))*IF(ISNUMBER(OFFSET(E$11,5,0):OFFSET(E$38,-1,0)),OFFSET(E$11,5,0):OFFSET(E$38,-1,0),0))</f>
        <v>0</v>
      </c>
      <c r="G47" s="185" t="s">
        <v>536</v>
      </c>
      <c r="L47" s="236"/>
      <c r="S47" s="240"/>
      <c r="T47" s="241" t="s">
        <v>801</v>
      </c>
      <c r="U47" s="239" cm="1">
        <f t="array" aca="1" ref="U47" ca="1">IF(U$12=1,0,OFFSET(U47,0,-1))+SUM((OFFSET($D$13,1,0):OFFSET($D$38,-3,0))*IF(ISNUMBER(OFFSET(U$11,5,0):OFFSET(U$38,-1,0)),OFFSET(U$11,5,0):OFFSET(U$38,-1,0),0))</f>
        <v>0</v>
      </c>
      <c r="V47" s="239" cm="1">
        <f t="array" aca="1" ref="V47" ca="1">IF(V$12=1,0,OFFSET(V47,0,-1))+SUM((OFFSET($D$13,1,0):OFFSET($D$38,-3,0))*IF(ISNUMBER(OFFSET(V$11,5,0):OFFSET(V$38,-1,0)),OFFSET(V$11,5,0):OFFSET(V$38,-1,0),0))</f>
        <v>0</v>
      </c>
      <c r="W47" s="239" cm="1">
        <f t="array" aca="1" ref="W47" ca="1">IF(W$12=1,0,OFFSET(W47,0,-1))+SUM((OFFSET($D$13,1,0):OFFSET($D$38,-3,0))*IF(ISNUMBER(OFFSET(W$11,5,0):OFFSET(W$38,-1,0)),OFFSET(W$11,5,0):OFFSET(W$38,-1,0),0))</f>
        <v>0</v>
      </c>
      <c r="X47" s="239" cm="1">
        <f t="array" aca="1" ref="X47" ca="1">IF(X$12=1,0,OFFSET(X47,0,-1))+SUM((OFFSET($D$13,1,0):OFFSET($D$38,-3,0))*IF(ISNUMBER(OFFSET(X$11,5,0):OFFSET(X$38,-1,0)),OFFSET(X$11,5,0):OFFSET(X$38,-1,0),0))</f>
        <v>0</v>
      </c>
      <c r="Y47" s="239" cm="1">
        <f t="array" aca="1" ref="Y47" ca="1">IF(Y$12=1,0,OFFSET(Y47,0,-1))+SUM((OFFSET($D$13,1,0):OFFSET($D$38,-3,0))*IF(ISNUMBER(OFFSET(Y$11,5,0):OFFSET(Y$38,-1,0)),OFFSET(Y$11,5,0):OFFSET(Y$38,-1,0),0))</f>
        <v>0</v>
      </c>
      <c r="Z47" s="239" cm="1">
        <f t="array" aca="1" ref="Z47" ca="1">IF(Z$12=1,0,OFFSET(Z47,0,-1))+SUM((OFFSET($D$13,1,0):OFFSET($D$38,-3,0))*IF(ISNUMBER(OFFSET(Z$11,5,0):OFFSET(Z$38,-1,0)),OFFSET(Z$11,5,0):OFFSET(Z$38,-1,0),0))</f>
        <v>0</v>
      </c>
      <c r="AA47" s="239" cm="1">
        <f t="array" aca="1" ref="AA47" ca="1">IF(AA$12=1,0,OFFSET(AA47,0,-1))+SUM((OFFSET($D$13,1,0):OFFSET($D$38,-3,0))*IF(ISNUMBER(OFFSET(AA$11,5,0):OFFSET(AA$38,-1,0)),OFFSET(AA$11,5,0):OFFSET(AA$38,-1,0),0))</f>
        <v>0</v>
      </c>
      <c r="AB47" s="239" cm="1">
        <f t="array" aca="1" ref="AB47" ca="1">IF(AB$12=1,0,OFFSET(AB47,0,-1))+SUM((OFFSET($D$13,1,0):OFFSET($D$38,-3,0))*IF(ISNUMBER(OFFSET(AB$11,5,0):OFFSET(AB$38,-1,0)),OFFSET(AB$11,5,0):OFFSET(AB$38,-1,0),0))</f>
        <v>0</v>
      </c>
      <c r="AC47" s="239" cm="1">
        <f t="array" aca="1" ref="AC47" ca="1">IF(AC$12=1,0,OFFSET(AC47,0,-1))+SUM((OFFSET($D$13,1,0):OFFSET($D$38,-3,0))*IF(ISNUMBER(OFFSET(AC$11,5,0):OFFSET(AC$38,-1,0)),OFFSET(AC$11,5,0):OFFSET(AC$38,-1,0),0))</f>
        <v>0</v>
      </c>
      <c r="AD47" s="239" cm="1">
        <f t="array" aca="1" ref="AD47" ca="1">IF(AD$12=1,0,OFFSET(AD47,0,-1))+SUM((OFFSET($D$13,1,0):OFFSET($D$38,-3,0))*IF(ISNUMBER(OFFSET(AD$11,5,0):OFFSET(AD$38,-1,0)),OFFSET(AD$11,5,0):OFFSET(AD$38,-1,0),0))</f>
        <v>0</v>
      </c>
      <c r="AE47" s="239" cm="1">
        <f t="array" aca="1" ref="AE47" ca="1">IF(AE$12=1,0,OFFSET(AE47,0,-1))+SUM((OFFSET($D$13,1,0):OFFSET($D$38,-3,0))*IF(ISNUMBER(OFFSET(AE$11,5,0):OFFSET(AE$38,-1,0)),OFFSET(AE$11,5,0):OFFSET(AE$38,-1,0),0))</f>
        <v>0</v>
      </c>
      <c r="AF47" s="239" cm="1">
        <f t="array" aca="1" ref="AF47" ca="1">IF(AF$12=1,0,OFFSET(AF47,0,-1))+SUM((OFFSET($D$13,1,0):OFFSET($D$38,-3,0))*IF(ISNUMBER(OFFSET(AF$11,5,0):OFFSET(AF$38,-1,0)),OFFSET(AF$11,5,0):OFFSET(AF$38,-1,0),0))</f>
        <v>0</v>
      </c>
      <c r="AG47" s="534"/>
    </row>
    <row r="48" spans="1:33" ht="13.5" thickBot="1" x14ac:dyDescent="0.25">
      <c r="D48" s="533"/>
      <c r="E48" s="531">
        <f ca="1">SUMIF($S$12:$S$38,"1$",E12:E38)+IF(E$12&gt;1,OFFSET(E48,0,-1),0)</f>
        <v>120047.75000000001</v>
      </c>
      <c r="G48" s="185" t="s">
        <v>536</v>
      </c>
      <c r="H48" s="522" t="str" cm="1">
        <f t="array" ref="H48">IF(ACOMPANHAMENTO="BM","Selecione o Macrosserviço da Administração Local:","")</f>
        <v/>
      </c>
      <c r="I48"/>
      <c r="L48" s="236"/>
      <c r="S48" s="237"/>
      <c r="T48" s="526" t="s">
        <v>802</v>
      </c>
      <c r="U48" s="531">
        <f t="shared" ref="U48:AF48" ca="1" si="51">SUMIF($S$12:$S$38,"1$",U12:U38)+IF(U$12&gt;1,OFFSET(U48,0,-1),0)</f>
        <v>120047.75000000001</v>
      </c>
      <c r="V48" s="531">
        <f t="shared" ca="1" si="51"/>
        <v>1081686.6200000001</v>
      </c>
      <c r="W48" s="531">
        <f t="shared" ca="1" si="51"/>
        <v>1081686.6200000001</v>
      </c>
      <c r="X48" s="531">
        <f t="shared" ca="1" si="51"/>
        <v>1081686.6200000001</v>
      </c>
      <c r="Y48" s="531">
        <f t="shared" ca="1" si="51"/>
        <v>1081686.6200000001</v>
      </c>
      <c r="Z48" s="531">
        <f t="shared" ca="1" si="51"/>
        <v>1081686.6200000001</v>
      </c>
      <c r="AA48" s="531">
        <f t="shared" ca="1" si="51"/>
        <v>1081686.6200000001</v>
      </c>
      <c r="AB48" s="531">
        <f t="shared" ca="1" si="51"/>
        <v>1081686.6200000001</v>
      </c>
      <c r="AC48" s="531">
        <f t="shared" ca="1" si="51"/>
        <v>1081686.6200000001</v>
      </c>
      <c r="AD48" s="531">
        <f t="shared" ca="1" si="51"/>
        <v>1081686.6200000001</v>
      </c>
      <c r="AE48" s="531">
        <f t="shared" ca="1" si="51"/>
        <v>1081686.6200000001</v>
      </c>
      <c r="AF48" s="540">
        <f t="shared" ca="1" si="51"/>
        <v>1081686.6200000001</v>
      </c>
      <c r="AG48" s="534"/>
    </row>
    <row r="49" spans="4:33" ht="13.5" thickBot="1" x14ac:dyDescent="0.25">
      <c r="D49" s="533"/>
      <c r="E49" s="532" t="str">
        <f ca="1">IF($F$49="","",
  IF(ACOMPANHAMENTO="PLE",
     IF(AUTOEVENTO="Manual",
         IF(AdmLocal="Automática",
              E44,
              SUMIF(OFFSET(CRONOPLE!$F$14,CRONOPLE!$A$8+1,1,1,OFFSET(CRONOPLE!$AF$12,0,-1)),"&lt;="&amp;E$12,OFFSET(EVENTOS!$G$14,CRONOPLE!$A$8+1,1,1,OFFSET(CRONOPLE!$AF$12,0,-1)))/OFFSET(EVENTOS!$G$14,CRONOPLE!$A$8+1,-1)),
         SUMIFS(OFFSET(CÁLCULO!$AA$15,$F$49,1,OFFSET(ORÇAMENTO!$D$15,$F$49,0),CÁLCULO.FrentesPreenchidas),OFFSET(CÁLCULO!$AL$15,$F$49,1,OFFSET(ORÇAMENTO!$D$15,$F$49,0),CÁLCULO.FrentesPreenchidas),"&lt;="&amp;E$12)/OFFSET(ORÇAMENTO!$X$15,$F$49,0)),
     IF(ACOMPANHAMENTO="BM",SUM(OFFSET($T$13,$F$49+2,1,1,E$12))/OFFSET($S$13,$F$49,0),"")))</f>
        <v/>
      </c>
      <c r="F49" s="185" t="str">
        <f ca="1">IF(ACOMPANHAMENTO="PLE",
    IF(AUTOEVENTO="Manual",
        IF(AdmLocal="Automática",1,IF(CRONOPLE!$D$8&lt;&gt;"","",MATCH(Import.EventoAdmLocal,EVENTOS!$B$15:$B$23,0))),
        IF(CRONOPLE!$D$8&lt;&gt;"","",CRONOPLE!$A$10)),
    IF($H$50&lt;&gt;"","",MATCH(Import.MacrosserviçoAdmLocal,$A$13:$A$38,0)-1))</f>
        <v/>
      </c>
      <c r="G49" s="185" t="s">
        <v>536</v>
      </c>
      <c r="H49" s="739"/>
      <c r="I49" s="781"/>
      <c r="J49" s="740"/>
      <c r="L49" s="242"/>
      <c r="S49" s="525"/>
      <c r="T49" s="527" t="s">
        <v>804</v>
      </c>
      <c r="U49" s="532" t="str">
        <f ca="1">IF($F$49="","",
  IF(ACOMPANHAMENTO="PLE",
     IF(AUTOEVENTO="Manual",
         IF(AdmLocal="Automática",
              U44,
              SUMIF(OFFSET(CRONOPLE!$F$14,CRONOPLE!$A$8+1,1,1,OFFSET(CRONOPLE!$AF$12,0,-1)),"&lt;="&amp;U$12,OFFSET(EVENTOS!$G$14,CRONOPLE!$A$8+1,1,1,OFFSET(CRONOPLE!$AF$12,0,-1)))/OFFSET(EVENTOS!$G$14,CRONOPLE!$A$8+1,-1)),
         SUMIFS(OFFSET(CÁLCULO!$AA$15,$F$49,1,OFFSET(ORÇAMENTO!$D$15,$F$49,0),CÁLCULO.FrentesPreenchidas),OFFSET(CÁLCULO!$AL$15,$F$49,1,OFFSET(ORÇAMENTO!$D$15,$F$49,0),CÁLCULO.FrentesPreenchidas),"&lt;="&amp;U$12)/OFFSET(ORÇAMENTO!$X$15,$F$49,0)),
     IF(ACOMPANHAMENTO="BM",SUM(OFFSET($T$13,$F$49+2,1,1,U$12))/OFFSET($S$13,$F$49,0),"")))</f>
        <v/>
      </c>
      <c r="V49" s="532" t="str">
        <f ca="1">IF($F$49="","",
  IF(ACOMPANHAMENTO="PLE",
     IF(AUTOEVENTO="Manual",
         IF(AdmLocal="Automática",
              V44,
              SUMIF(OFFSET(CRONOPLE!$F$14,CRONOPLE!$A$8+1,1,1,OFFSET(CRONOPLE!$AF$12,0,-1)),"&lt;="&amp;V$12,OFFSET(EVENTOS!$G$14,CRONOPLE!$A$8+1,1,1,OFFSET(CRONOPLE!$AF$12,0,-1)))/OFFSET(EVENTOS!$G$14,CRONOPLE!$A$8+1,-1)),
         SUMIFS(OFFSET(CÁLCULO!$AA$15,$F$49,1,OFFSET(ORÇAMENTO!$D$15,$F$49,0),CÁLCULO.FrentesPreenchidas),OFFSET(CÁLCULO!$AL$15,$F$49,1,OFFSET(ORÇAMENTO!$D$15,$F$49,0),CÁLCULO.FrentesPreenchidas),"&lt;="&amp;V$12)/OFFSET(ORÇAMENTO!$X$15,$F$49,0)),
     IF(ACOMPANHAMENTO="BM",SUM(OFFSET($T$13,$F$49+2,1,1,V$12))/OFFSET($S$13,$F$49,0),"")))</f>
        <v/>
      </c>
      <c r="W49" s="532" t="str">
        <f ca="1">IF($F$49="","",
  IF(ACOMPANHAMENTO="PLE",
     IF(AUTOEVENTO="Manual",
         IF(AdmLocal="Automática",
              W44,
              SUMIF(OFFSET(CRONOPLE!$F$14,CRONOPLE!$A$8+1,1,1,OFFSET(CRONOPLE!$AF$12,0,-1)),"&lt;="&amp;W$12,OFFSET(EVENTOS!$G$14,CRONOPLE!$A$8+1,1,1,OFFSET(CRONOPLE!$AF$12,0,-1)))/OFFSET(EVENTOS!$G$14,CRONOPLE!$A$8+1,-1)),
         SUMIFS(OFFSET(CÁLCULO!$AA$15,$F$49,1,OFFSET(ORÇAMENTO!$D$15,$F$49,0),CÁLCULO.FrentesPreenchidas),OFFSET(CÁLCULO!$AL$15,$F$49,1,OFFSET(ORÇAMENTO!$D$15,$F$49,0),CÁLCULO.FrentesPreenchidas),"&lt;="&amp;W$12)/OFFSET(ORÇAMENTO!$X$15,$F$49,0)),
     IF(ACOMPANHAMENTO="BM",SUM(OFFSET($T$13,$F$49+2,1,1,W$12))/OFFSET($S$13,$F$49,0),"")))</f>
        <v/>
      </c>
      <c r="X49" s="532" t="str">
        <f ca="1">IF($F$49="","",
  IF(ACOMPANHAMENTO="PLE",
     IF(AUTOEVENTO="Manual",
         IF(AdmLocal="Automática",
              X44,
              SUMIF(OFFSET(CRONOPLE!$F$14,CRONOPLE!$A$8+1,1,1,OFFSET(CRONOPLE!$AF$12,0,-1)),"&lt;="&amp;X$12,OFFSET(EVENTOS!$G$14,CRONOPLE!$A$8+1,1,1,OFFSET(CRONOPLE!$AF$12,0,-1)))/OFFSET(EVENTOS!$G$14,CRONOPLE!$A$8+1,-1)),
         SUMIFS(OFFSET(CÁLCULO!$AA$15,$F$49,1,OFFSET(ORÇAMENTO!$D$15,$F$49,0),CÁLCULO.FrentesPreenchidas),OFFSET(CÁLCULO!$AL$15,$F$49,1,OFFSET(ORÇAMENTO!$D$15,$F$49,0),CÁLCULO.FrentesPreenchidas),"&lt;="&amp;X$12)/OFFSET(ORÇAMENTO!$X$15,$F$49,0)),
     IF(ACOMPANHAMENTO="BM",SUM(OFFSET($T$13,$F$49+2,1,1,X$12))/OFFSET($S$13,$F$49,0),"")))</f>
        <v/>
      </c>
      <c r="Y49" s="532" t="str">
        <f ca="1">IF($F$49="","",
  IF(ACOMPANHAMENTO="PLE",
     IF(AUTOEVENTO="Manual",
         IF(AdmLocal="Automática",
              Y44,
              SUMIF(OFFSET(CRONOPLE!$F$14,CRONOPLE!$A$8+1,1,1,OFFSET(CRONOPLE!$AF$12,0,-1)),"&lt;="&amp;Y$12,OFFSET(EVENTOS!$G$14,CRONOPLE!$A$8+1,1,1,OFFSET(CRONOPLE!$AF$12,0,-1)))/OFFSET(EVENTOS!$G$14,CRONOPLE!$A$8+1,-1)),
         SUMIFS(OFFSET(CÁLCULO!$AA$15,$F$49,1,OFFSET(ORÇAMENTO!$D$15,$F$49,0),CÁLCULO.FrentesPreenchidas),OFFSET(CÁLCULO!$AL$15,$F$49,1,OFFSET(ORÇAMENTO!$D$15,$F$49,0),CÁLCULO.FrentesPreenchidas),"&lt;="&amp;Y$12)/OFFSET(ORÇAMENTO!$X$15,$F$49,0)),
     IF(ACOMPANHAMENTO="BM",SUM(OFFSET($T$13,$F$49+2,1,1,Y$12))/OFFSET($S$13,$F$49,0),"")))</f>
        <v/>
      </c>
      <c r="Z49" s="532" t="str">
        <f ca="1">IF($F$49="","",
  IF(ACOMPANHAMENTO="PLE",
     IF(AUTOEVENTO="Manual",
         IF(AdmLocal="Automática",
              Z44,
              SUMIF(OFFSET(CRONOPLE!$F$14,CRONOPLE!$A$8+1,1,1,OFFSET(CRONOPLE!$AF$12,0,-1)),"&lt;="&amp;Z$12,OFFSET(EVENTOS!$G$14,CRONOPLE!$A$8+1,1,1,OFFSET(CRONOPLE!$AF$12,0,-1)))/OFFSET(EVENTOS!$G$14,CRONOPLE!$A$8+1,-1)),
         SUMIFS(OFFSET(CÁLCULO!$AA$15,$F$49,1,OFFSET(ORÇAMENTO!$D$15,$F$49,0),CÁLCULO.FrentesPreenchidas),OFFSET(CÁLCULO!$AL$15,$F$49,1,OFFSET(ORÇAMENTO!$D$15,$F$49,0),CÁLCULO.FrentesPreenchidas),"&lt;="&amp;Z$12)/OFFSET(ORÇAMENTO!$X$15,$F$49,0)),
     IF(ACOMPANHAMENTO="BM",SUM(OFFSET($T$13,$F$49+2,1,1,Z$12))/OFFSET($S$13,$F$49,0),"")))</f>
        <v/>
      </c>
      <c r="AA49" s="532" t="str">
        <f ca="1">IF($F$49="","",
  IF(ACOMPANHAMENTO="PLE",
     IF(AUTOEVENTO="Manual",
         IF(AdmLocal="Automática",
              AA44,
              SUMIF(OFFSET(CRONOPLE!$F$14,CRONOPLE!$A$8+1,1,1,OFFSET(CRONOPLE!$AF$12,0,-1)),"&lt;="&amp;AA$12,OFFSET(EVENTOS!$G$14,CRONOPLE!$A$8+1,1,1,OFFSET(CRONOPLE!$AF$12,0,-1)))/OFFSET(EVENTOS!$G$14,CRONOPLE!$A$8+1,-1)),
         SUMIFS(OFFSET(CÁLCULO!$AA$15,$F$49,1,OFFSET(ORÇAMENTO!$D$15,$F$49,0),CÁLCULO.FrentesPreenchidas),OFFSET(CÁLCULO!$AL$15,$F$49,1,OFFSET(ORÇAMENTO!$D$15,$F$49,0),CÁLCULO.FrentesPreenchidas),"&lt;="&amp;AA$12)/OFFSET(ORÇAMENTO!$X$15,$F$49,0)),
     IF(ACOMPANHAMENTO="BM",SUM(OFFSET($T$13,$F$49+2,1,1,AA$12))/OFFSET($S$13,$F$49,0),"")))</f>
        <v/>
      </c>
      <c r="AB49" s="532" t="str">
        <f ca="1">IF($F$49="","",
  IF(ACOMPANHAMENTO="PLE",
     IF(AUTOEVENTO="Manual",
         IF(AdmLocal="Automática",
              AB44,
              SUMIF(OFFSET(CRONOPLE!$F$14,CRONOPLE!$A$8+1,1,1,OFFSET(CRONOPLE!$AF$12,0,-1)),"&lt;="&amp;AB$12,OFFSET(EVENTOS!$G$14,CRONOPLE!$A$8+1,1,1,OFFSET(CRONOPLE!$AF$12,0,-1)))/OFFSET(EVENTOS!$G$14,CRONOPLE!$A$8+1,-1)),
         SUMIFS(OFFSET(CÁLCULO!$AA$15,$F$49,1,OFFSET(ORÇAMENTO!$D$15,$F$49,0),CÁLCULO.FrentesPreenchidas),OFFSET(CÁLCULO!$AL$15,$F$49,1,OFFSET(ORÇAMENTO!$D$15,$F$49,0),CÁLCULO.FrentesPreenchidas),"&lt;="&amp;AB$12)/OFFSET(ORÇAMENTO!$X$15,$F$49,0)),
     IF(ACOMPANHAMENTO="BM",SUM(OFFSET($T$13,$F$49+2,1,1,AB$12))/OFFSET($S$13,$F$49,0),"")))</f>
        <v/>
      </c>
      <c r="AC49" s="532" t="str">
        <f ca="1">IF($F$49="","",
  IF(ACOMPANHAMENTO="PLE",
     IF(AUTOEVENTO="Manual",
         IF(AdmLocal="Automática",
              AC44,
              SUMIF(OFFSET(CRONOPLE!$F$14,CRONOPLE!$A$8+1,1,1,OFFSET(CRONOPLE!$AF$12,0,-1)),"&lt;="&amp;AC$12,OFFSET(EVENTOS!$G$14,CRONOPLE!$A$8+1,1,1,OFFSET(CRONOPLE!$AF$12,0,-1)))/OFFSET(EVENTOS!$G$14,CRONOPLE!$A$8+1,-1)),
         SUMIFS(OFFSET(CÁLCULO!$AA$15,$F$49,1,OFFSET(ORÇAMENTO!$D$15,$F$49,0),CÁLCULO.FrentesPreenchidas),OFFSET(CÁLCULO!$AL$15,$F$49,1,OFFSET(ORÇAMENTO!$D$15,$F$49,0),CÁLCULO.FrentesPreenchidas),"&lt;="&amp;AC$12)/OFFSET(ORÇAMENTO!$X$15,$F$49,0)),
     IF(ACOMPANHAMENTO="BM",SUM(OFFSET($T$13,$F$49+2,1,1,AC$12))/OFFSET($S$13,$F$49,0),"")))</f>
        <v/>
      </c>
      <c r="AD49" s="532" t="str">
        <f ca="1">IF($F$49="","",
  IF(ACOMPANHAMENTO="PLE",
     IF(AUTOEVENTO="Manual",
         IF(AdmLocal="Automática",
              AD44,
              SUMIF(OFFSET(CRONOPLE!$F$14,CRONOPLE!$A$8+1,1,1,OFFSET(CRONOPLE!$AF$12,0,-1)),"&lt;="&amp;AD$12,OFFSET(EVENTOS!$G$14,CRONOPLE!$A$8+1,1,1,OFFSET(CRONOPLE!$AF$12,0,-1)))/OFFSET(EVENTOS!$G$14,CRONOPLE!$A$8+1,-1)),
         SUMIFS(OFFSET(CÁLCULO!$AA$15,$F$49,1,OFFSET(ORÇAMENTO!$D$15,$F$49,0),CÁLCULO.FrentesPreenchidas),OFFSET(CÁLCULO!$AL$15,$F$49,1,OFFSET(ORÇAMENTO!$D$15,$F$49,0),CÁLCULO.FrentesPreenchidas),"&lt;="&amp;AD$12)/OFFSET(ORÇAMENTO!$X$15,$F$49,0)),
     IF(ACOMPANHAMENTO="BM",SUM(OFFSET($T$13,$F$49+2,1,1,AD$12))/OFFSET($S$13,$F$49,0),"")))</f>
        <v/>
      </c>
      <c r="AE49" s="532" t="str">
        <f ca="1">IF($F$49="","",
  IF(ACOMPANHAMENTO="PLE",
     IF(AUTOEVENTO="Manual",
         IF(AdmLocal="Automática",
              AE44,
              SUMIF(OFFSET(CRONOPLE!$F$14,CRONOPLE!$A$8+1,1,1,OFFSET(CRONOPLE!$AF$12,0,-1)),"&lt;="&amp;AE$12,OFFSET(EVENTOS!$G$14,CRONOPLE!$A$8+1,1,1,OFFSET(CRONOPLE!$AF$12,0,-1)))/OFFSET(EVENTOS!$G$14,CRONOPLE!$A$8+1,-1)),
         SUMIFS(OFFSET(CÁLCULO!$AA$15,$F$49,1,OFFSET(ORÇAMENTO!$D$15,$F$49,0),CÁLCULO.FrentesPreenchidas),OFFSET(CÁLCULO!$AL$15,$F$49,1,OFFSET(ORÇAMENTO!$D$15,$F$49,0),CÁLCULO.FrentesPreenchidas),"&lt;="&amp;AE$12)/OFFSET(ORÇAMENTO!$X$15,$F$49,0)),
     IF(ACOMPANHAMENTO="BM",SUM(OFFSET($T$13,$F$49+2,1,1,AE$12))/OFFSET($S$13,$F$49,0),"")))</f>
        <v/>
      </c>
      <c r="AF49" s="532" t="str">
        <f ca="1">IF($F$49="","",
  IF(ACOMPANHAMENTO="PLE",
     IF(AUTOEVENTO="Manual",
         IF(AdmLocal="Automática",
              AF44,
              SUMIF(OFFSET(CRONOPLE!$F$14,CRONOPLE!$A$8+1,1,1,OFFSET(CRONOPLE!$AF$12,0,-1)),"&lt;="&amp;AF$12,OFFSET(EVENTOS!$G$14,CRONOPLE!$A$8+1,1,1,OFFSET(CRONOPLE!$AF$12,0,-1)))/OFFSET(EVENTOS!$G$14,CRONOPLE!$A$8+1,-1)),
         SUMIFS(OFFSET(CÁLCULO!$AA$15,$F$49,1,OFFSET(ORÇAMENTO!$D$15,$F$49,0),CÁLCULO.FrentesPreenchidas),OFFSET(CÁLCULO!$AL$15,$F$49,1,OFFSET(ORÇAMENTO!$D$15,$F$49,0),CÁLCULO.FrentesPreenchidas),"&lt;="&amp;AF$12)/OFFSET(ORÇAMENTO!$X$15,$F$49,0)),
     IF(ACOMPANHAMENTO="BM",SUM(OFFSET($T$13,$F$49+2,1,1,AF$12))/OFFSET($S$13,$F$49,0),"")))</f>
        <v/>
      </c>
      <c r="AG49" s="534"/>
    </row>
    <row r="50" spans="4:33" ht="17.100000000000001" customHeight="1" x14ac:dyDescent="0.25">
      <c r="G50" s="185" t="s">
        <v>536</v>
      </c>
      <c r="H50" s="571" t="str" cm="1">
        <f t="array" ref="H50">IF(AND(ACOMPANHAMENTO="BM",$H$49=""),"↑ Não foi indicado o Macrosserviço de Administração Local","")</f>
        <v/>
      </c>
      <c r="T50" s="583" t="str">
        <f ca="1">IF(COUNTIF(U50:AG50,"%Adm&gt;%Global")&gt;0,"Verificar proporcionalidade da Administração Local","")</f>
        <v/>
      </c>
      <c r="U50" s="535" t="str">
        <f ca="1">IF(U49="","",IF(ROUND(U49,4)&gt;ROUND(U44,4),"%Adm&gt;%Global",""))</f>
        <v/>
      </c>
      <c r="V50" s="535" t="str">
        <f t="shared" ref="V50:AG50" ca="1" si="52">IF(V49="","",IF(ROUND(V49,4)&gt;ROUND(V44,4),"%Adm&gt;%Global",""))</f>
        <v/>
      </c>
      <c r="W50" s="535" t="str">
        <f t="shared" ca="1" si="52"/>
        <v/>
      </c>
      <c r="X50" s="535" t="str">
        <f t="shared" ca="1" si="52"/>
        <v/>
      </c>
      <c r="Y50" s="535" t="str">
        <f t="shared" ca="1" si="52"/>
        <v/>
      </c>
      <c r="Z50" s="535" t="str">
        <f t="shared" ca="1" si="52"/>
        <v/>
      </c>
      <c r="AA50" s="535" t="str">
        <f t="shared" ca="1" si="52"/>
        <v/>
      </c>
      <c r="AB50" s="535" t="str">
        <f t="shared" ca="1" si="52"/>
        <v/>
      </c>
      <c r="AC50" s="535" t="str">
        <f t="shared" ca="1" si="52"/>
        <v/>
      </c>
      <c r="AD50" s="535" t="str">
        <f t="shared" ca="1" si="52"/>
        <v/>
      </c>
      <c r="AE50" s="535" t="str">
        <f t="shared" ca="1" si="52"/>
        <v/>
      </c>
      <c r="AF50" s="535" t="str">
        <f t="shared" ca="1" si="52"/>
        <v/>
      </c>
      <c r="AG50" s="535" t="str">
        <f t="shared" si="52"/>
        <v/>
      </c>
    </row>
    <row r="51" spans="4:33" ht="32.25" customHeight="1" x14ac:dyDescent="0.2">
      <c r="G51" s="185" t="s">
        <v>536</v>
      </c>
      <c r="I51" s="693" t="str">
        <f>Import.Município</f>
        <v>PILAR DO SUL</v>
      </c>
      <c r="J51" s="693"/>
      <c r="K51" s="693"/>
      <c r="L51" s="693"/>
      <c r="M51" s="693"/>
      <c r="N51" s="693"/>
      <c r="O51" s="693"/>
      <c r="P51" s="693"/>
      <c r="Q51" s="693"/>
      <c r="R51" s="693"/>
      <c r="S51" s="693"/>
      <c r="AA51" s="460"/>
      <c r="AB51" s="460"/>
      <c r="AC51" s="460"/>
      <c r="AD51" s="460"/>
      <c r="AE51" s="462"/>
      <c r="AF51" s="462"/>
    </row>
    <row r="52" spans="4:33" x14ac:dyDescent="0.2">
      <c r="G52" s="185" t="s">
        <v>536</v>
      </c>
      <c r="I52" s="9" t="s">
        <v>693</v>
      </c>
      <c r="J52"/>
      <c r="K52"/>
      <c r="L52"/>
      <c r="AA52" s="181" t="s">
        <v>696</v>
      </c>
      <c r="AB52" s="181"/>
      <c r="AC52" s="181"/>
      <c r="AD52" s="181"/>
      <c r="AE52" s="185"/>
      <c r="AF52" s="185"/>
    </row>
    <row r="53" spans="4:33" x14ac:dyDescent="0.2">
      <c r="G53" s="185" t="s">
        <v>536</v>
      </c>
      <c r="I53"/>
      <c r="J53"/>
      <c r="K53"/>
      <c r="L53"/>
      <c r="AA53" s="398" t="str">
        <f t="array" aca="1" ref="AA53:AA55" ca="1">OFFSET(Import.RespOrçamento,0,-1) &amp; " " &amp; Import.RespOrçamento</f>
        <v>Nome: EDUARDO OLIVEIRA DOS SANTOS JUNIOR</v>
      </c>
      <c r="AC53"/>
      <c r="AD53" s="79"/>
      <c r="AE53" s="185"/>
      <c r="AF53" s="185"/>
    </row>
    <row r="54" spans="4:33" x14ac:dyDescent="0.2">
      <c r="G54" s="185" t="s">
        <v>536</v>
      </c>
      <c r="I54" s="780">
        <f ca="1">DADOS!$C$25</f>
        <v>46142</v>
      </c>
      <c r="J54" s="780"/>
      <c r="K54" s="780"/>
      <c r="L54" s="180"/>
      <c r="M54" s="245"/>
      <c r="N54" s="245"/>
      <c r="O54" s="245"/>
      <c r="P54" s="245"/>
      <c r="Q54" s="245"/>
      <c r="R54" s="245"/>
      <c r="S54" s="246"/>
      <c r="AA54" s="398" t="str">
        <f ca="1"/>
        <v>CREA/CAU: 5069244515-SP</v>
      </c>
      <c r="AC54" s="79"/>
      <c r="AD54" s="79"/>
      <c r="AE54" s="185"/>
      <c r="AF54" s="185"/>
    </row>
    <row r="55" spans="4:33" x14ac:dyDescent="0.2">
      <c r="G55" s="185" t="s">
        <v>536</v>
      </c>
      <c r="I55" s="9" t="s">
        <v>694</v>
      </c>
      <c r="J55"/>
      <c r="K55"/>
      <c r="L55"/>
      <c r="AA55" s="398" t="str">
        <f ca="1"/>
        <v>ART/RRT: 2620260743929</v>
      </c>
      <c r="AC55" s="79"/>
      <c r="AD55" s="79"/>
      <c r="AE55" s="185"/>
      <c r="AF55" s="185"/>
    </row>
  </sheetData>
  <sheetProtection algorithmName="SHA-512" hashValue="yYGtcPKfNhyLFWWsKB0k84OSt25belWb0o5rVXhe4Epq5coTwhMA+nqfA81EeMwmtW9+YbpqgvHNsEsfmYM/vg==" saltValue="NDZYq+ueNGy+l40sXdBwrw==" spinCount="100000" sheet="1" objects="1" scenarios="1" autoFilter="0"/>
  <autoFilter ref="G13:G55" xr:uid="{00000000-0009-0000-0000-000007000000}">
    <filterColumn colId="0">
      <filters>
        <filter val="F"/>
      </filters>
    </filterColumn>
  </autoFilter>
  <mergeCells count="18">
    <mergeCell ref="T12:T13"/>
    <mergeCell ref="L8:T8"/>
    <mergeCell ref="U8:Y8"/>
    <mergeCell ref="K10:T11"/>
    <mergeCell ref="I39:K40"/>
    <mergeCell ref="H12:H13"/>
    <mergeCell ref="I12:I13"/>
    <mergeCell ref="J12:J13"/>
    <mergeCell ref="I54:K54"/>
    <mergeCell ref="I51:S51"/>
    <mergeCell ref="H49:J49"/>
    <mergeCell ref="S12:S13"/>
    <mergeCell ref="G8:G11"/>
    <mergeCell ref="I8:J8"/>
    <mergeCell ref="H7:H9"/>
    <mergeCell ref="AE4:AF4"/>
    <mergeCell ref="AE5:AF5"/>
    <mergeCell ref="Z8:AE8"/>
  </mergeCells>
  <phoneticPr fontId="38" type="noConversion"/>
  <conditionalFormatting sqref="U12:U13">
    <cfRule type="expression" dxfId="175" priority="16586" stopIfTrue="1">
      <formula>NOT(ISNUMBER(T$12))</formula>
    </cfRule>
  </conditionalFormatting>
  <conditionalFormatting sqref="E2 U2:AF2">
    <cfRule type="expression" dxfId="174" priority="16587" stopIfTrue="1">
      <formula>AND(ISNUMBER($H1),$H1&lt;&gt;0)</formula>
    </cfRule>
  </conditionalFormatting>
  <conditionalFormatting sqref="I2:S2">
    <cfRule type="expression" dxfId="173" priority="16588" stopIfTrue="1">
      <formula>$M1=2</formula>
    </cfRule>
    <cfRule type="expression" dxfId="172" priority="16589" stopIfTrue="1">
      <formula>AND($M1=1,$S1&lt;&gt;"")</formula>
    </cfRule>
  </conditionalFormatting>
  <conditionalFormatting sqref="I1:S1">
    <cfRule type="expression" dxfId="171" priority="16590" stopIfTrue="1">
      <formula>$M1=2</formula>
    </cfRule>
    <cfRule type="expression" dxfId="170" priority="16591" stopIfTrue="1">
      <formula>AND($M1=1,$S1&lt;&gt;"")</formula>
    </cfRule>
  </conditionalFormatting>
  <conditionalFormatting sqref="E39 E41 E43:E44 E46 E48 U48:AF48 U39:AF39 U41:AF41 U43:AF44 U46:AF46">
    <cfRule type="expression" dxfId="169" priority="16592" stopIfTrue="1">
      <formula>D$44=1</formula>
    </cfRule>
  </conditionalFormatting>
  <conditionalFormatting sqref="E40 E42 E45 E47 E49 U40:AF40 U42:AF42 U45:AF45 U47:AF47 U49:AF49">
    <cfRule type="expression" dxfId="168" priority="16593" stopIfTrue="1">
      <formula>D$44=1</formula>
    </cfRule>
  </conditionalFormatting>
  <conditionalFormatting sqref="AF7:AF8">
    <cfRule type="expression" dxfId="167" priority="16597" stopIfTrue="1">
      <formula>OR(TIPOORCAMENTO&lt;&gt;"Licitado",QCI.ExisteManual)</formula>
    </cfRule>
  </conditionalFormatting>
  <conditionalFormatting sqref="Z7:AE8">
    <cfRule type="expression" dxfId="166" priority="16585" stopIfTrue="1">
      <formula>QCI.ExisteManual</formula>
    </cfRule>
  </conditionalFormatting>
  <conditionalFormatting sqref="H2">
    <cfRule type="expression" dxfId="165" priority="12731">
      <formula>AND(H1&lt;&gt;0,ISNUMBER(H1))</formula>
    </cfRule>
  </conditionalFormatting>
  <conditionalFormatting sqref="E49 U49:AF49">
    <cfRule type="expression" dxfId="164" priority="12722">
      <formula>ROUND(E49,4)&gt;ROUND(E44,4)</formula>
    </cfRule>
  </conditionalFormatting>
  <conditionalFormatting sqref="H1">
    <cfRule type="expression" dxfId="163" priority="12721">
      <formula>AND(H1&lt;&gt;0,ISNUMBER(H1))</formula>
    </cfRule>
  </conditionalFormatting>
  <conditionalFormatting sqref="H49:J49">
    <cfRule type="expression" dxfId="162" priority="12720">
      <formula>$H$48=""</formula>
    </cfRule>
  </conditionalFormatting>
  <conditionalFormatting sqref="E49">
    <cfRule type="expression" dxfId="161" priority="12713" stopIfTrue="1">
      <formula>D$44=1</formula>
    </cfRule>
  </conditionalFormatting>
  <conditionalFormatting sqref="E1">
    <cfRule type="expression" dxfId="160" priority="12710" stopIfTrue="1">
      <formula>E1&lt;&gt;0</formula>
    </cfRule>
  </conditionalFormatting>
  <conditionalFormatting sqref="E2">
    <cfRule type="expression" dxfId="159" priority="12709">
      <formula>AND(_xlfn.SINGLE(ACOMPANHAMENTO)="BM",E2&gt;ROUND(E2,4))</formula>
    </cfRule>
  </conditionalFormatting>
  <conditionalFormatting sqref="E49">
    <cfRule type="expression" dxfId="158" priority="12708" stopIfTrue="1">
      <formula>D$44=1</formula>
    </cfRule>
  </conditionalFormatting>
  <conditionalFormatting sqref="U1:AF1">
    <cfRule type="expression" dxfId="157" priority="2664" stopIfTrue="1">
      <formula>U1&lt;&gt;0</formula>
    </cfRule>
  </conditionalFormatting>
  <conditionalFormatting sqref="U2:AF2">
    <cfRule type="expression" dxfId="156" priority="2663">
      <formula>AND(_xlfn.SINGLE(ACOMPANHAMENTO)="BM",U2&gt;ROUND(U2,4))</formula>
    </cfRule>
  </conditionalFormatting>
  <conditionalFormatting sqref="E15 E18 E21 U15:AF15 U18:AF18 U21:AF21">
    <cfRule type="expression" dxfId="155" priority="194" stopIfTrue="1">
      <formula>AND(ISNUMBER($H14),$H14&lt;&gt;0)</formula>
    </cfRule>
  </conditionalFormatting>
  <conditionalFormatting sqref="I15:S15 I18:S18 I21:S21">
    <cfRule type="expression" dxfId="154" priority="195" stopIfTrue="1">
      <formula>$M14=2</formula>
    </cfRule>
    <cfRule type="expression" dxfId="153" priority="196" stopIfTrue="1">
      <formula>AND($M14=1,$S14&lt;&gt;"")</formula>
    </cfRule>
  </conditionalFormatting>
  <conditionalFormatting sqref="I14:S14 I17:S17 I20:S20">
    <cfRule type="expression" dxfId="152" priority="197" stopIfTrue="1">
      <formula>$M14=2</formula>
    </cfRule>
    <cfRule type="expression" dxfId="151" priority="198" stopIfTrue="1">
      <formula>AND($M14=1,$S14&lt;&gt;"")</formula>
    </cfRule>
  </conditionalFormatting>
  <conditionalFormatting sqref="H15 H18 H21">
    <cfRule type="expression" dxfId="150" priority="193">
      <formula>AND(H14&lt;&gt;0,ISNUMBER(H14))</formula>
    </cfRule>
  </conditionalFormatting>
  <conditionalFormatting sqref="H14 H17 H20">
    <cfRule type="expression" dxfId="149" priority="192">
      <formula>AND(H14&lt;&gt;0,ISNUMBER(H14))</formula>
    </cfRule>
  </conditionalFormatting>
  <conditionalFormatting sqref="E14 E17 E20">
    <cfRule type="expression" dxfId="148" priority="191" stopIfTrue="1">
      <formula>E14&lt;&gt;0</formula>
    </cfRule>
  </conditionalFormatting>
  <conditionalFormatting sqref="E15 E18 E21">
    <cfRule type="expression" dxfId="147" priority="190">
      <formula>AND(_xlfn.SINGLE(ACOMPANHAMENTO)="BM",E15&gt;ROUND(E15,4))</formula>
    </cfRule>
  </conditionalFormatting>
  <conditionalFormatting sqref="U14:AF14 U17:AF17 U20:AF20">
    <cfRule type="expression" dxfId="146" priority="189" stopIfTrue="1">
      <formula>U14&lt;&gt;0</formula>
    </cfRule>
  </conditionalFormatting>
  <conditionalFormatting sqref="U15:AF15 U18:AF18 U21:AF21">
    <cfRule type="expression" dxfId="145" priority="188">
      <formula>AND(_xlfn.SINGLE(ACOMPANHAMENTO)="BM",U15&gt;ROUND(U15,4))</formula>
    </cfRule>
  </conditionalFormatting>
  <conditionalFormatting sqref="E24 E27 E30 U24:AF24 U27:AF27 U30:AF30">
    <cfRule type="expression" dxfId="144" priority="183" stopIfTrue="1">
      <formula>AND(ISNUMBER($H23),$H23&lt;&gt;0)</formula>
    </cfRule>
  </conditionalFormatting>
  <conditionalFormatting sqref="I24:S24 I27:S27 I30:S30">
    <cfRule type="expression" dxfId="143" priority="184" stopIfTrue="1">
      <formula>$M23=2</formula>
    </cfRule>
    <cfRule type="expression" dxfId="142" priority="185" stopIfTrue="1">
      <formula>AND($M23=1,$S23&lt;&gt;"")</formula>
    </cfRule>
  </conditionalFormatting>
  <conditionalFormatting sqref="I23:S23 I26:S26 I29:S29">
    <cfRule type="expression" dxfId="141" priority="186" stopIfTrue="1">
      <formula>$M23=2</formula>
    </cfRule>
    <cfRule type="expression" dxfId="140" priority="187" stopIfTrue="1">
      <formula>AND($M23=1,$S23&lt;&gt;"")</formula>
    </cfRule>
  </conditionalFormatting>
  <conditionalFormatting sqref="H24 H27 H30">
    <cfRule type="expression" dxfId="139" priority="182">
      <formula>AND(H23&lt;&gt;0,ISNUMBER(H23))</formula>
    </cfRule>
  </conditionalFormatting>
  <conditionalFormatting sqref="H23 H26 H29">
    <cfRule type="expression" dxfId="138" priority="181">
      <formula>AND(H23&lt;&gt;0,ISNUMBER(H23))</formula>
    </cfRule>
  </conditionalFormatting>
  <conditionalFormatting sqref="E23 E26 E29">
    <cfRule type="expression" dxfId="137" priority="180" stopIfTrue="1">
      <formula>E23&lt;&gt;0</formula>
    </cfRule>
  </conditionalFormatting>
  <conditionalFormatting sqref="E24 E27 E30">
    <cfRule type="expression" dxfId="136" priority="179">
      <formula>AND(_xlfn.SINGLE(ACOMPANHAMENTO)="BM",E24&gt;ROUND(E24,4))</formula>
    </cfRule>
  </conditionalFormatting>
  <conditionalFormatting sqref="U23:AF23 U26:AF26 U29:AF29">
    <cfRule type="expression" dxfId="135" priority="178" stopIfTrue="1">
      <formula>U23&lt;&gt;0</formula>
    </cfRule>
  </conditionalFormatting>
  <conditionalFormatting sqref="U24:AF24 U27:AF27 U30:AF30">
    <cfRule type="expression" dxfId="134" priority="177">
      <formula>AND(_xlfn.SINGLE(ACOMPANHAMENTO)="BM",U24&gt;ROUND(U24,4))</formula>
    </cfRule>
  </conditionalFormatting>
  <conditionalFormatting sqref="E33 U33:AF33">
    <cfRule type="expression" dxfId="133" priority="172" stopIfTrue="1">
      <formula>AND(ISNUMBER($H32),$H32&lt;&gt;0)</formula>
    </cfRule>
  </conditionalFormatting>
  <conditionalFormatting sqref="I33:S33">
    <cfRule type="expression" dxfId="132" priority="173" stopIfTrue="1">
      <formula>$M32=2</formula>
    </cfRule>
    <cfRule type="expression" dxfId="131" priority="174" stopIfTrue="1">
      <formula>AND($M32=1,$S32&lt;&gt;"")</formula>
    </cfRule>
  </conditionalFormatting>
  <conditionalFormatting sqref="I32:S32">
    <cfRule type="expression" dxfId="130" priority="175" stopIfTrue="1">
      <formula>$M32=2</formula>
    </cfRule>
    <cfRule type="expression" dxfId="129" priority="176" stopIfTrue="1">
      <formula>AND($M32=1,$S32&lt;&gt;"")</formula>
    </cfRule>
  </conditionalFormatting>
  <conditionalFormatting sqref="H33">
    <cfRule type="expression" dxfId="128" priority="171">
      <formula>AND(H32&lt;&gt;0,ISNUMBER(H32))</formula>
    </cfRule>
  </conditionalFormatting>
  <conditionalFormatting sqref="H32">
    <cfRule type="expression" dxfId="127" priority="170">
      <formula>AND(H32&lt;&gt;0,ISNUMBER(H32))</formula>
    </cfRule>
  </conditionalFormatting>
  <conditionalFormatting sqref="E32">
    <cfRule type="expression" dxfId="126" priority="169" stopIfTrue="1">
      <formula>E32&lt;&gt;0</formula>
    </cfRule>
  </conditionalFormatting>
  <conditionalFormatting sqref="E33">
    <cfRule type="expression" dxfId="125" priority="168">
      <formula>AND(_xlfn.SINGLE(ACOMPANHAMENTO)="BM",E33&gt;ROUND(E33,4))</formula>
    </cfRule>
  </conditionalFormatting>
  <conditionalFormatting sqref="U32:AF32">
    <cfRule type="expression" dxfId="124" priority="167" stopIfTrue="1">
      <formula>U32&lt;&gt;0</formula>
    </cfRule>
  </conditionalFormatting>
  <conditionalFormatting sqref="U33:AF33">
    <cfRule type="expression" dxfId="123" priority="166">
      <formula>AND(_xlfn.SINGLE(ACOMPANHAMENTO)="BM",U33&gt;ROUND(U33,4))</formula>
    </cfRule>
  </conditionalFormatting>
  <conditionalFormatting sqref="E36 U36:AF36">
    <cfRule type="expression" dxfId="122" priority="7" stopIfTrue="1">
      <formula>AND(ISNUMBER($H35),$H35&lt;&gt;0)</formula>
    </cfRule>
  </conditionalFormatting>
  <conditionalFormatting sqref="I36:S36">
    <cfRule type="expression" dxfId="121" priority="8" stopIfTrue="1">
      <formula>$M35=2</formula>
    </cfRule>
    <cfRule type="expression" dxfId="120" priority="9" stopIfTrue="1">
      <formula>AND($M35=1,$S35&lt;&gt;"")</formula>
    </cfRule>
  </conditionalFormatting>
  <conditionalFormatting sqref="I35:S35">
    <cfRule type="expression" dxfId="119" priority="10" stopIfTrue="1">
      <formula>$M35=2</formula>
    </cfRule>
    <cfRule type="expression" dxfId="118" priority="11" stopIfTrue="1">
      <formula>AND($M35=1,$S35&lt;&gt;"")</formula>
    </cfRule>
  </conditionalFormatting>
  <conditionalFormatting sqref="H36">
    <cfRule type="expression" dxfId="117" priority="6">
      <formula>AND(H35&lt;&gt;0,ISNUMBER(H35))</formula>
    </cfRule>
  </conditionalFormatting>
  <conditionalFormatting sqref="H35">
    <cfRule type="expression" dxfId="116" priority="5">
      <formula>AND(H35&lt;&gt;0,ISNUMBER(H35))</formula>
    </cfRule>
  </conditionalFormatting>
  <conditionalFormatting sqref="E35">
    <cfRule type="expression" dxfId="115" priority="4" stopIfTrue="1">
      <formula>E35&lt;&gt;0</formula>
    </cfRule>
  </conditionalFormatting>
  <conditionalFormatting sqref="E36">
    <cfRule type="expression" dxfId="114" priority="3">
      <formula>AND(_xlfn.SINGLE(ACOMPANHAMENTO)="BM",E36&gt;ROUND(E36,4))</formula>
    </cfRule>
  </conditionalFormatting>
  <conditionalFormatting sqref="U35:AF35">
    <cfRule type="expression" dxfId="113" priority="2" stopIfTrue="1">
      <formula>U35&lt;&gt;0</formula>
    </cfRule>
  </conditionalFormatting>
  <conditionalFormatting sqref="U36:AF36">
    <cfRule type="expression" dxfId="112" priority="1">
      <formula>AND(_xlfn.SINGLE(ACOMPANHAMENTO)="BM",U36&gt;ROUND(U36,4))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U32:AF32 E35 U35:AF35"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U33:AG33 E36 U36:AG36"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9:J49"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28"/>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79" t="s">
        <v>650</v>
      </c>
      <c r="E3" s="679"/>
      <c r="F3" s="87" t="s">
        <v>707</v>
      </c>
      <c r="G3" s="679" t="s">
        <v>652</v>
      </c>
      <c r="H3" s="679"/>
      <c r="I3" s="679"/>
      <c r="J3" s="680" t="s">
        <v>808</v>
      </c>
      <c r="K3" s="680"/>
      <c r="L3" s="680"/>
      <c r="M3" s="681" t="s">
        <v>809</v>
      </c>
      <c r="N3" s="681"/>
      <c r="O3" s="681"/>
      <c r="Z3" s="102">
        <f ca="1">MAX(Z7:AB7)</f>
        <v>0.11247954606298088</v>
      </c>
      <c r="AA3" s="273" cm="1">
        <f t="array" aca="1" ref="AA3" ca="1">IF(OR($O$15=ORÇAMENTO.SumINVMANUAL+QCI.SumINVMANUAL,$O$15=0),0,MIN(MAX(0,($Z$3*$O$15-ORÇAMENTO.SumCPMANUAL-QCI.SumCPMANUAL)/($O$15-ORÇAMENTO.SumINVMANUAL-QCI.SumINVMANUAL)),1))</f>
        <v>0.11247954606298088</v>
      </c>
      <c r="AB3" s="92"/>
    </row>
    <row r="4" spans="1:31" x14ac:dyDescent="0.2">
      <c r="A4" t="s">
        <v>977</v>
      </c>
      <c r="D4" s="682" t="str">
        <f>Import.CR</f>
        <v>1101329-56</v>
      </c>
      <c r="E4" s="682"/>
      <c r="F4" s="56" t="str">
        <f>Import.TransfereGOV</f>
        <v>11213/2025</v>
      </c>
      <c r="G4" s="682" t="str">
        <f>Import.Proponente</f>
        <v>PREFEITURA MUNICIPAL DE PILAR DO SUL</v>
      </c>
      <c r="H4" s="682"/>
      <c r="I4" s="682"/>
      <c r="J4" s="683" t="str">
        <f>Import.Município</f>
        <v>PILAR DO SUL</v>
      </c>
      <c r="K4" s="683"/>
      <c r="L4" s="683"/>
      <c r="M4" s="681"/>
      <c r="N4" s="681"/>
      <c r="O4" s="681"/>
      <c r="R4" s="129"/>
      <c r="Z4" s="92"/>
      <c r="AA4" s="92"/>
      <c r="AB4" s="92"/>
    </row>
    <row r="5" spans="1:31" ht="5.0999999999999996" customHeight="1" x14ac:dyDescent="0.2">
      <c r="A5" t="s">
        <v>978</v>
      </c>
      <c r="M5" s="265"/>
      <c r="O5" s="4"/>
    </row>
    <row r="6" spans="1:31" x14ac:dyDescent="0.2">
      <c r="A6" t="s">
        <v>979</v>
      </c>
      <c r="D6" s="679" t="s">
        <v>708</v>
      </c>
      <c r="E6" s="679"/>
      <c r="F6" s="679"/>
      <c r="G6" s="679"/>
      <c r="H6" s="679"/>
      <c r="I6" s="679"/>
      <c r="J6" s="679"/>
      <c r="K6" s="679"/>
      <c r="L6" s="274" t="s">
        <v>715</v>
      </c>
      <c r="M6" s="87" t="str">
        <f>IF(import.recurso="FGTS","FINANCIAMENTO","REPASSE")</f>
        <v>REPASSE</v>
      </c>
      <c r="N6" s="87" t="s">
        <v>810</v>
      </c>
      <c r="O6" s="87" t="s">
        <v>811</v>
      </c>
      <c r="Z6" t="s">
        <v>812</v>
      </c>
      <c r="AA6" t="s">
        <v>813</v>
      </c>
      <c r="AB6" t="s">
        <v>814</v>
      </c>
    </row>
    <row r="7" spans="1:31" ht="12.75" customHeight="1" x14ac:dyDescent="0.2">
      <c r="A7" s="658" t="s">
        <v>982</v>
      </c>
      <c r="C7" s="686" t="s">
        <v>655</v>
      </c>
      <c r="D7" s="682" t="str">
        <f>Import.Apelido</f>
        <v>INFRAESTRUTURA URBANA COM RECUPERAÇÃO, DRENAGEM E RECAPEAMENTO ASFÁLTICO RUAS DO MUNICÍPIO DE PILAR DO SUL</v>
      </c>
      <c r="E7" s="682"/>
      <c r="F7" s="682"/>
      <c r="G7" s="682"/>
      <c r="H7" s="682"/>
      <c r="I7" s="682"/>
      <c r="J7" s="682"/>
      <c r="K7" s="682"/>
      <c r="L7" s="275" t="str">
        <f>import.recurso</f>
        <v>OGU</v>
      </c>
      <c r="M7" s="276">
        <f>Import.Repasse</f>
        <v>960019</v>
      </c>
      <c r="N7" s="276">
        <f>Import.Contrapartida</f>
        <v>121667.62</v>
      </c>
      <c r="O7" s="276">
        <f>M7+N7</f>
        <v>1081686.6200000001</v>
      </c>
      <c r="Z7" s="102">
        <f>ROUND(Import.CPMinPerc,4)</f>
        <v>1E-3</v>
      </c>
      <c r="AA7" s="102">
        <f ca="1">IF($O$15=0,0,Import.CPMinAbsoluta/$O$15)</f>
        <v>0</v>
      </c>
      <c r="AB7" s="102">
        <f ca="1">IF($O$15=0,0,($O$15-$AB$15-Import.Repasse)/($O$15))</f>
        <v>0.11247954606298088</v>
      </c>
    </row>
    <row r="8" spans="1:31" x14ac:dyDescent="0.2">
      <c r="A8" t="s">
        <v>819</v>
      </c>
      <c r="C8" s="686"/>
      <c r="D8" s="92"/>
      <c r="E8" s="92"/>
      <c r="F8" s="277"/>
      <c r="G8" s="92"/>
      <c r="H8" s="92"/>
      <c r="I8" s="92"/>
      <c r="J8" s="92"/>
      <c r="K8" s="92"/>
      <c r="L8" s="92"/>
      <c r="M8" s="92"/>
      <c r="N8" s="92"/>
      <c r="O8" s="92"/>
    </row>
    <row r="9" spans="1:31" ht="12.75" customHeight="1" x14ac:dyDescent="0.2">
      <c r="A9" t="s">
        <v>981</v>
      </c>
      <c r="C9" s="686"/>
      <c r="G9" s="688"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IF(OFFSET($A$15,-1,0)&lt;OFFSET(ORÇAMENTO!$E$56,-1,0),"ERRO: NÚMERO DE LINHAS DO QCI INSUFICIENTE. CLIQUE NO BOTÃO ADICIONAR LINHAS",
  "")))))))</f>
        <v/>
      </c>
      <c r="H9" s="688"/>
      <c r="I9" s="512"/>
      <c r="J9" s="511"/>
      <c r="K9" s="687" t="s">
        <v>815</v>
      </c>
      <c r="L9" s="278" t="str">
        <f>$L$13</f>
        <v>Repasse (R$)</v>
      </c>
      <c r="M9" s="278" t="s">
        <v>741</v>
      </c>
      <c r="AD9" s="684"/>
      <c r="AE9" s="684"/>
    </row>
    <row r="10" spans="1:31" ht="12.75" customHeight="1" x14ac:dyDescent="0.2">
      <c r="A10" s="689" t="s">
        <v>816</v>
      </c>
      <c r="C10" s="686"/>
      <c r="G10" s="688"/>
      <c r="H10" s="688"/>
      <c r="I10" s="512"/>
      <c r="J10" s="511"/>
      <c r="K10" s="687"/>
      <c r="L10" s="279">
        <f ca="1">Import.Repasse-L15</f>
        <v>0</v>
      </c>
      <c r="M10" s="280">
        <f ca="1">Import.Contrapartida-M15</f>
        <v>0</v>
      </c>
      <c r="Z10" s="690" t="s">
        <v>721</v>
      </c>
      <c r="AA10" s="690"/>
      <c r="AB10" s="690"/>
      <c r="AD10" s="684" t="s">
        <v>817</v>
      </c>
      <c r="AE10" s="684"/>
    </row>
    <row r="11" spans="1:31" ht="20.100000000000001" customHeight="1" x14ac:dyDescent="0.25">
      <c r="A11" s="689"/>
      <c r="C11" s="686"/>
      <c r="G11" s="582"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21"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IF(NOT(ISBLANK(QCI.DescManual)),IF(QCI.Divisao="Calculado","Manual","SemiAuto"),IF(ISERROR(MATCH($A12,ORÇAMENTO!$E$15:$E$56,0)),"Branco","Automático"))</f>
        <v>Branco</v>
      </c>
      <c r="C12" t="str">
        <f ca="1">IF(O12&gt;0,"F","")</f>
        <v/>
      </c>
      <c r="D12" s="281">
        <f>ROW()-ROW($D$13)</f>
        <v>-1</v>
      </c>
      <c r="E12" s="118"/>
      <c r="F12" s="118"/>
      <c r="G12" s="163" t="str">
        <f ca="1">IF(OR($B12="Manual",$B12="SemiAuto"),QCI.DescManual,IF($B12="Automático",INDEX(ORÇAMENTO!$R$15:$R$56,MATCH($A12,ORÇAMENTO!$E$15:$E$56,0)),""))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IF($B12="Branco",0,IF(OR($B12="Manual",$B12="SemiAuto"),QCI.InvManual,INDEX(ORÇAMENTO!X$15:X$56,MATCH($A12,ORÇAMENTO!$E$15:$E$56,0))))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IF($B12="Branco",0,IF($B12="Manual",QCI.CPManual,IF($B12="SemiAuto",ROUND(QCI!$AA$3*QCI.InvManual,2),INDEX(ORÇAMENTO!$AA$15:$AA$56,MATCH($A12,ORÇAMENTO!$E$15:$E$56,0)))))</f>
        <v>0</v>
      </c>
      <c r="AB12" cm="1">
        <f t="array" aca="1" ref="AB12" ca="1">IF($B12="Branco",0,IF($B12="Manual",QCI.OutrosManual,IF($B12="SemiAuto",0,INDEX(ORÇAMENTO!$AB$15:$AB$56,MATCH($A12,ORÇAMENTO!$E$15:$E$56,0)))))</f>
        <v>0</v>
      </c>
      <c r="AD12" s="289" t="b">
        <f ca="1">AND($AA$3&gt;0,$AA$3&lt;1,$O12&gt;0,OR($B12="Automático",$B12="SemiAuto"),OR(QCI!$Z$3=QCI!$Z$7,QCI!$Z$3=QCI!$AA$7,QCI!$Z$3=QCI!$AB$7))</f>
        <v>0</v>
      </c>
      <c r="AE12" s="289">
        <f ca="1">IF(AND($AD12,$O12&gt;0,COUNTIF(OFFSET($AD12,1,0):$AD$15,TRUE)=0),CHOOSE(1+LOG(1+2*(QCI!$Z$3=QCI!$Z$7)+4*(QCI!$Z$3=QCI!$AA$7)+8*(QCI!$Z$3=QCI!$AB$7),2),0,$AA$15-ROUND(Import.CPMinPerc*$O$15,2),$AA$15-Import.CPMinAbsoluta,Import.Repasse-$Z$15),0)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 ca="1" si="0">IF(NOT(ISBLANK(QCI.DescManual)),OFFSET(A14,-1,0),D14)</f>
        <v>1</v>
      </c>
      <c r="B14" t="str">
        <f ca="1">IF(NOT(ISBLANK(QCI.DescManual)),IF(QCI.Divisao="Calculado","Manual","SemiAuto"),IF(ISERROR(MATCH($A14,ORÇAMENTO!$E$15:$E$56,0)),"Branco","Automático"))</f>
        <v>Automático</v>
      </c>
      <c r="C14" t="str">
        <f t="shared" ref="C14" ca="1" si="1">IF(O14&gt;0,"F","")</f>
        <v>F</v>
      </c>
      <c r="D14" s="281">
        <f t="shared" ref="D14" si="2">ROW()-ROW($D$13)</f>
        <v>1</v>
      </c>
      <c r="E14" s="118" t="s">
        <v>102</v>
      </c>
      <c r="F14" s="118" t="s">
        <v>142</v>
      </c>
      <c r="G14" s="163" t="str">
        <f ca="1">IF(OR($B14="Manual",$B14="SemiAuto"),QCI.DescManual,IF($B14="Automático",INDEX(ORÇAMENTO!$R$15:$R$56,MATCH($A14,ORÇAMENTO!$E$15:$E$56,0)),""))</f>
        <v>QUALIFICAÇÃO VIÁRIA COM EXECUÇÃO DE RECAPEAMENTO ASFÁLTICO EM RUAS DO MUNICÍPIO DE PILAR DO SUL-SP</v>
      </c>
      <c r="H14" s="118" t="s">
        <v>976</v>
      </c>
      <c r="I14" s="464">
        <v>10665.78</v>
      </c>
      <c r="J14" s="282" t="str">
        <f ca="1">IF(AND(ISBLANK(E14),ISBLANK(F14)),"",VLOOKUP($F14,OFFSET(DADOS!$A$2,1,MATCH(QCI!$E14,DADOS!$2:$2,0)-1,100,50),2,FALSE))</f>
        <v>m²</v>
      </c>
      <c r="K14" s="463" t="str" cm="1">
        <f t="array" aca="1" ref="K14" ca="1">IF(OR($B14="Manual",$B14="SemiAuto"),QCI.LoteManual,IF($B14="Automático",IF(TIPOORCAMENTO="Licitado",Import.CTEF,"LOTE 1"),""))</f>
        <v>LOTE 1</v>
      </c>
      <c r="L14" s="283">
        <f t="shared" ref="L14" ca="1" si="3">ROUND($O14,2)-ROUND($M14,2)-ROUND($N14,2)</f>
        <v>960019.00000000012</v>
      </c>
      <c r="M14" s="284">
        <f t="shared" ref="M14" ca="1" si="4">ROUND($AA14,2)-ROUND($AE14,2)</f>
        <v>121667.62</v>
      </c>
      <c r="N14" s="285">
        <f t="shared" ref="N14" ca="1" si="5">ROUND($AB14,2)</f>
        <v>0</v>
      </c>
      <c r="O14" s="286" cm="1">
        <f t="array" aca="1" ref="O14" ca="1">IF($B14="Branco",0,IF(OR($B14="Manual",$B14="SemiAuto"),QCI.InvManual,INDEX(ORÇAMENTO!X$15:X$56,MATCH($A14,ORÇAMENTO!$E$15:$E$56,0))))</f>
        <v>1081686.6200000001</v>
      </c>
      <c r="P14" s="577" t="str">
        <f t="shared" ref="P14" ca="1" si="6">IF(O14=0,"",
  IF(E14="","ITEM",
  IF(F14="","SUBITEM",
  IF(H14="","SITUAÇÃO",
  IF(I14=0,"QUANT.","")))))</f>
        <v/>
      </c>
      <c r="R14" s="465"/>
      <c r="S14" s="578" t="str">
        <f t="shared" ref="S14" si="7">IF(R14="","",
  IF(T14=0,"► LOTE",
  IF(U14=0,"► INVEST",
  IF(V14=0,"► DIV",
  IF(AND(V14="Calculado",W14=""),"► CP",
  IF(AND(V14="Calculado",X14=""),"► OU",""))))))</f>
        <v/>
      </c>
      <c r="T14" s="466"/>
      <c r="U14" s="579"/>
      <c r="V14" s="467" t="s">
        <v>819</v>
      </c>
      <c r="W14" s="580"/>
      <c r="X14" s="581"/>
      <c r="Z14">
        <f t="shared" ref="Z14" ca="1" si="8">$O14-$AA14-$AB14</f>
        <v>960019</v>
      </c>
      <c r="AA14" cm="1">
        <f t="array" aca="1" ref="AA14" ca="1">IF($B14="Branco",0,IF($B14="Manual",QCI.CPManual,IF($B14="SemiAuto",ROUND(QCI!$AA$3*QCI.InvManual,2),INDEX(ORÇAMENTO!$AA$15:$AA$56,MATCH($A14,ORÇAMENTO!$E$15:$E$56,0)))))</f>
        <v>121667.62000000011</v>
      </c>
      <c r="AB14" cm="1">
        <f t="array" aca="1" ref="AB14" ca="1">IF($B14="Branco",0,IF($B14="Manual",QCI.OutrosManual,IF($B14="SemiAuto",0,INDEX(ORÇAMENTO!$AB$15:$AB$56,MATCH($A14,ORÇAMENTO!$E$15:$E$56,0)))))</f>
        <v>0</v>
      </c>
      <c r="AD14" s="289" t="b">
        <f ca="1">AND($AA$3&gt;0,$AA$3&lt;1,$O14&gt;0,OR($B14="Automático",$B14="SemiAuto"),OR(QCI!$Z$3=QCI!$Z$7,QCI!$Z$3=QCI!$AA$7,QCI!$Z$3=QCI!$AB$7))</f>
        <v>1</v>
      </c>
      <c r="AE14" s="289">
        <f ca="1">IF(AND($AD14,$O14&gt;0,COUNTIF(OFFSET($AD14,1,0):$AD$15,TRUE)=0),CHOOSE(1+LOG(1+2*(QCI!$Z$3=QCI!$Z$7)+4*(QCI!$Z$3=QCI!$AA$7)+8*(QCI!$Z$3=QCI!$AB$7),2),0,$AA$15-ROUND(Import.CPMinPerc*$O$15,2),$AA$15-Import.CPMinAbsoluta,Import.Repasse-$Z$15),0)</f>
        <v>0</v>
      </c>
    </row>
    <row r="15" spans="1:31" ht="15" x14ac:dyDescent="0.2">
      <c r="B15" t="s">
        <v>829</v>
      </c>
      <c r="C15" t="s">
        <v>536</v>
      </c>
      <c r="D15" s="294"/>
      <c r="E15" s="295"/>
      <c r="F15" s="295"/>
      <c r="G15" s="295"/>
      <c r="H15" s="295"/>
      <c r="I15" s="295"/>
      <c r="J15" s="295"/>
      <c r="K15" s="685" t="s">
        <v>830</v>
      </c>
      <c r="L15" s="296">
        <f ca="1">SUM(L13:OFFSET(L15,-1,0))</f>
        <v>960019.00000000012</v>
      </c>
      <c r="M15" s="297">
        <f ca="1">SUM(M13:OFFSET(M15,-1,0))</f>
        <v>121667.62</v>
      </c>
      <c r="N15" s="298">
        <f ca="1">SUM(N13:OFFSET(N15,-1,0))</f>
        <v>0</v>
      </c>
      <c r="O15" s="299">
        <f ca="1">SUM(O13:OFFSET(O15,-1,0))</f>
        <v>1081686.6200000001</v>
      </c>
      <c r="R15" s="300"/>
      <c r="T15" s="301"/>
      <c r="U15" s="302"/>
      <c r="V15" s="303"/>
      <c r="W15" s="304"/>
      <c r="X15" s="305"/>
      <c r="Z15" s="88">
        <f ca="1">SUMPRODUCT(ROUND(Z13:OFFSET(Z15,-1,0),2))</f>
        <v>960019</v>
      </c>
      <c r="AA15" s="88">
        <f ca="1">SUMPRODUCT(ROUND(AA13:OFFSET(AA15,-1,0),2))</f>
        <v>121667.62</v>
      </c>
      <c r="AB15" s="88">
        <f ca="1">SUM(AB13:OFFSET(AB15,-1,0))</f>
        <v>0</v>
      </c>
    </row>
    <row r="16" spans="1:31" x14ac:dyDescent="0.2">
      <c r="B16" t="s">
        <v>831</v>
      </c>
      <c r="C16" t="s">
        <v>536</v>
      </c>
      <c r="D16" s="306"/>
      <c r="E16" s="307"/>
      <c r="F16" s="307"/>
      <c r="G16" s="307"/>
      <c r="H16" s="307"/>
      <c r="I16" s="307"/>
      <c r="J16" s="307"/>
      <c r="K16" s="685"/>
      <c r="L16" s="308">
        <f ca="1">IF(ISERROR(L15/$O15),0,ROUND(L15/$O15,4))</f>
        <v>0.88749999999999996</v>
      </c>
      <c r="M16" s="309">
        <f ca="1">IF(ISERROR(M15/$O15),0,ROUND(M15/$O15,4))</f>
        <v>0.1125</v>
      </c>
      <c r="N16" s="310">
        <f ca="1">IF(ISERROR(N15/$O15),0,ROUND(N15/$O15,4))</f>
        <v>0</v>
      </c>
      <c r="O16" s="311">
        <f ca="1">IF(ISERROR(O15/$O15),0,ROUND(O15/$O15,4))</f>
        <v>1</v>
      </c>
      <c r="R16" s="312"/>
      <c r="T16" s="313"/>
      <c r="U16" s="314"/>
      <c r="V16" s="315"/>
      <c r="W16" s="316"/>
      <c r="X16" s="317"/>
    </row>
    <row r="18" spans="4:15" ht="14.25" x14ac:dyDescent="0.2">
      <c r="D18" s="135" t="s">
        <v>689</v>
      </c>
    </row>
    <row r="19" spans="4:15" ht="12.75" customHeight="1" x14ac:dyDescent="0.2">
      <c r="D19" s="692"/>
      <c r="E19" s="692"/>
      <c r="F19" s="692"/>
      <c r="G19" s="692"/>
      <c r="H19" s="692"/>
      <c r="I19" s="692"/>
      <c r="J19" s="692"/>
      <c r="K19" s="692"/>
      <c r="L19" s="692"/>
      <c r="M19" s="692"/>
      <c r="N19" s="692"/>
      <c r="O19" s="692"/>
    </row>
    <row r="20" spans="4:15" ht="12.75" customHeight="1" x14ac:dyDescent="0.2">
      <c r="D20" s="692"/>
      <c r="E20" s="692"/>
      <c r="F20" s="692"/>
      <c r="G20" s="692"/>
      <c r="H20" s="692"/>
      <c r="I20" s="692"/>
      <c r="J20" s="692"/>
      <c r="K20" s="692"/>
      <c r="L20" s="692"/>
      <c r="M20" s="692"/>
      <c r="N20" s="692"/>
      <c r="O20" s="692"/>
    </row>
    <row r="21" spans="4:15" ht="12.75" customHeight="1" x14ac:dyDescent="0.2">
      <c r="D21" s="692"/>
      <c r="E21" s="692"/>
      <c r="F21" s="692"/>
      <c r="G21" s="692"/>
      <c r="H21" s="692"/>
      <c r="I21" s="692"/>
      <c r="J21" s="692"/>
      <c r="K21" s="692"/>
      <c r="L21" s="692"/>
      <c r="M21" s="692"/>
      <c r="N21" s="692"/>
      <c r="O21" s="692"/>
    </row>
    <row r="24" spans="4:15" ht="15" x14ac:dyDescent="0.2">
      <c r="D24" s="693" t="str">
        <f>Import.Município</f>
        <v>PILAR DO SUL</v>
      </c>
      <c r="E24" s="693"/>
      <c r="F24" s="693"/>
      <c r="I24" s="139"/>
      <c r="J24" s="139"/>
      <c r="K24" s="180"/>
      <c r="L24" s="180"/>
    </row>
    <row r="25" spans="4:15" x14ac:dyDescent="0.2">
      <c r="D25" s="9" t="s">
        <v>693</v>
      </c>
      <c r="I25" s="181" t="s">
        <v>832</v>
      </c>
      <c r="J25" s="181"/>
    </row>
    <row r="26" spans="4:15" x14ac:dyDescent="0.2">
      <c r="I26" s="77" t="str">
        <f>"Nome:" &amp;  " " &amp; DADOS!C28</f>
        <v>Nome: CLAYTON ÁLVARO MACHADO</v>
      </c>
    </row>
    <row r="27" spans="4:15" x14ac:dyDescent="0.2">
      <c r="D27" s="691">
        <f ca="1">DADOS!$C$25</f>
        <v>46142</v>
      </c>
      <c r="E27" s="691"/>
      <c r="F27" s="691"/>
      <c r="I27" s="77" t="str">
        <f>"Cargo:"  &amp; " " &amp; DADOS!C29</f>
        <v>Cargo: PREFEITO MUNICIPAL DE PILAR DO SUL</v>
      </c>
    </row>
    <row r="28" spans="4:15" x14ac:dyDescent="0.2">
      <c r="D28" s="140" t="s">
        <v>694</v>
      </c>
      <c r="E28" s="1"/>
      <c r="F28" s="1"/>
      <c r="K28" s="77"/>
      <c r="L28" s="78"/>
    </row>
  </sheetData>
  <sheetProtection algorithmName="SHA-512" hashValue="4cWN9ttO9ev2soN8PyNc4AWHjyJzFu8N7r2Y2AEYgVJfjK1+LckCSiDI1KaN7SIV4gkv8v+2Onzy83o08+3mqg==" saltValue="uAHOKzu/xy1Ya8kNPjI6SQ==" spinCount="100000" sheet="1" objects="1" scenarios="1" autoFilter="0"/>
  <autoFilter ref="C13:C16" xr:uid="{00000000-0009-0000-0000-00000A000000}">
    <filterColumn colId="0">
      <filters>
        <filter val="F"/>
      </filters>
    </filterColumn>
  </autoFilter>
  <mergeCells count="20">
    <mergeCell ref="D6:K6"/>
    <mergeCell ref="A10:A11"/>
    <mergeCell ref="Z10:AB10"/>
    <mergeCell ref="D27:F27"/>
    <mergeCell ref="D19:O21"/>
    <mergeCell ref="D24:F24"/>
    <mergeCell ref="AD10:AE10"/>
    <mergeCell ref="K15:K16"/>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T14:V14">
    <cfRule type="expression" dxfId="381" priority="961" stopIfTrue="1">
      <formula>OR($B12="Automático",$B12="Branco")</formula>
    </cfRule>
  </conditionalFormatting>
  <conditionalFormatting sqref="L12 L14">
    <cfRule type="expression" dxfId="380" priority="962" stopIfTrue="1">
      <formula>OR(L12&lt;0,AND(L$13="Contrapartida Financeira (R$)",$B12="T%",OR(L12&lt;Import.CPMinPerc,AND(L12&gt;Import.CPMaxPerc,Import.CPMaxPerc&gt;0))),AND(L$13="Contrapartida Financeira (R$)",$B12="TR$",L12&lt;Import.CPMinAbsoluta))</formula>
    </cfRule>
  </conditionalFormatting>
  <conditionalFormatting sqref="W12:X12 W14:X14">
    <cfRule type="expression" dxfId="379" priority="963" stopIfTrue="1">
      <formula>OR($B12="Automático",$B12="Branco",$V12&lt;&gt;"Calculado")</formula>
    </cfRule>
  </conditionalFormatting>
  <conditionalFormatting sqref="M16">
    <cfRule type="expression" dxfId="378" priority="965" stopIfTrue="1">
      <formula>AND($G$9&lt;&gt;"",OR($M$16&lt;Import.CPMinPerc,$M$16&gt;Import.CPMaxPerc))</formula>
    </cfRule>
  </conditionalFormatting>
  <conditionalFormatting sqref="M15">
    <cfRule type="expression" dxfId="377" priority="966" stopIfTrue="1">
      <formula>AND($G$9&lt;&gt;"",$M$15&lt;Import.CPMinAbsoluta)</formula>
    </cfRule>
  </conditionalFormatting>
  <conditionalFormatting sqref="L10:M10">
    <cfRule type="cellIs" dxfId="376" priority="967" stopIfTrue="1" operator="lessThan">
      <formula>0</formula>
    </cfRule>
  </conditionalFormatting>
  <conditionalFormatting sqref="G12">
    <cfRule type="cellIs" dxfId="375" priority="968" stopIfTrue="1" operator="equal">
      <formula>"(digite a descrição aqui)"</formula>
    </cfRule>
  </conditionalFormatting>
  <conditionalFormatting sqref="G14">
    <cfRule type="cellIs" dxfId="374" priority="8"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 type="list" allowBlank="1" showInputMessage="1" showErrorMessage="1" errorTitle="Erro:" error="Selecione uma opção da lista." prompt="Selecione uma opção da lista." sqref="H12 H14" xr:uid="{2C92EC3B-F6E1-4E2F-B694-FDBD44D7E101}">
      <formula1>QCI.Lista.Situação</formula1>
    </dataValidation>
    <dataValidation type="list" allowBlank="1" showInputMessage="1" showErrorMessage="1" errorTitle="Erro:" error="Selecione uma opção da lista." prompt="Selecione uma opção da lista." sqref="F12 F14" xr:uid="{B8760799-99A8-4AC2-BB6C-C10778E4DA4D}">
      <formula1>QCI.SubItemInvestimento</formula1>
    </dataValidation>
    <dataValidation type="list" allowBlank="1" showInputMessage="1" showErrorMessage="1" errorTitle="Erro:" error="Selecione uma opção da lista." prompt="Selecione uma opção da lista." sqref="E12 E14" xr:uid="{C47D275E-9B79-4BFD-8F23-46B4A1B34E7F}">
      <formula1>QCI.ItemInvestimento</formula1>
    </dataValidation>
    <dataValidation type="list" allowBlank="1" showInputMessage="1" showErrorMessage="1" errorTitle="Erro:" error="Selecione uma opção da lista." prompt="Selecione uma opção da lista." sqref="V12 V14"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0"/>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7" t="e">
        <f ca="1">IF(AUTOEVENTO="Manual",OFFSET(EVENTOS!$D$15,$B1-$B$15,0),IF(B1&lt;=MAX(CÁLCULO!$M$15:$M$56),VLOOKUP($B1,CÁLCULO!$M$15:$N$56,2,FALSE),0))</f>
        <v>#REF!</v>
      </c>
      <c r="D1" s="787"/>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98" t="s">
        <v>644</v>
      </c>
      <c r="AE3" s="698"/>
      <c r="AF3" s="698"/>
    </row>
    <row r="4" spans="1:33" ht="15.75" x14ac:dyDescent="0.2">
      <c r="B4" s="82"/>
      <c r="C4" s="82"/>
      <c r="H4" s="83" t="str">
        <f>import.recurso</f>
        <v>OGU</v>
      </c>
      <c r="AD4" s="699" t="s">
        <v>647</v>
      </c>
      <c r="AE4" s="699"/>
      <c r="AF4" s="699"/>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74" t="str">
        <f>Import.CR</f>
        <v>1101329-56</v>
      </c>
      <c r="C7" s="774"/>
      <c r="D7" s="214" t="str">
        <f>Import.TransfereGOV</f>
        <v>11213/2025</v>
      </c>
      <c r="E7" s="42"/>
      <c r="H7" s="784" t="str">
        <f>Import.Proponente</f>
        <v>PREFEITURA MUNICIPAL DE PILAR DO SUL</v>
      </c>
      <c r="I7" s="784"/>
      <c r="J7" s="784"/>
      <c r="K7" s="784"/>
      <c r="L7" s="784"/>
      <c r="M7" s="784"/>
      <c r="N7" s="784"/>
      <c r="O7" s="774" t="str">
        <f>Import.Apelido</f>
        <v>INFRAESTRUTURA URBANA COM RECUPERAÇÃO, DRENAGEM E RECAPEAMENTO ASFÁLTICO RUAS DO MUNICÍPIO DE PILAR DO SUL</v>
      </c>
      <c r="P7" s="774"/>
      <c r="Q7" s="774"/>
      <c r="R7" s="774"/>
      <c r="S7" s="774"/>
      <c r="T7" s="774"/>
      <c r="U7" s="774"/>
      <c r="V7" s="774" t="str" cm="1">
        <f t="array" ref="V7">IF(TIPOORCAMENTO="Licitado",Import.empresa,Import.DescLote)</f>
        <v>QUALIFICAÇÃO VIÁRIA COM EXECUÇÃO DE RECAPEAMENTO ASFÁLTICO EM RUAS DO MUNICÍPIO DE PILAR DO SUL</v>
      </c>
      <c r="W7" s="774"/>
      <c r="X7" s="774"/>
      <c r="Y7" s="774"/>
      <c r="Z7" s="774"/>
      <c r="AA7" s="774"/>
      <c r="AB7" s="774"/>
      <c r="AC7" s="774"/>
      <c r="AD7" s="774"/>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TEXT(IF(PLE.Medicao=1,Import.DataInicioObra,OFFSET($H$26,0,1+(PLE.Medicao-$I$27)*2-2)+1),"dd/mm/aaaa")&amp;" a "&amp;TEXT(OFFSET($H$26,0,1+(PLE.Medicao-$I$27)*2),"dd/mm/aaaa")</f>
        <v>00/01/1900 a 00/01/1900</v>
      </c>
      <c r="O9" s="800"/>
      <c r="P9" s="800"/>
      <c r="Q9" s="800"/>
      <c r="R9" s="800"/>
      <c r="S9" s="800"/>
      <c r="T9" s="800"/>
      <c r="U9" s="268"/>
      <c r="X9" s="267" t="s">
        <v>835</v>
      </c>
      <c r="Y9" s="798">
        <f ca="1">OFFSET($I$27,1+8*(ROUNDUP(($J$9-0)/((COLUMN($AG$14)-COLUMN($G$14)-1)/25*12),0)-1),ROUNDDOWN((($J$9-0)-OFFSET($I$27,8*(ROUNDUP(($J$9-0)/((COLUMN($AG$14)-COLUMN($G$14)-1)/25*12),0)-1),0))*(2+1/12),0))</f>
        <v>0</v>
      </c>
      <c r="Z9" s="798"/>
      <c r="AD9" s="267" t="s">
        <v>836</v>
      </c>
      <c r="AE9" s="798">
        <f ca="1">OFFSET($I$27,3+8*(ROUNDUP(($J$9-0)/((COLUMN($AG$14)-COLUMN($G$14)-1)/25*12),0)-1),ROUNDDOWN((($J$9-0)-OFFSET($I$27,8*(ROUNDUP(($J$9-0)/((COLUMN($AG$14)-COLUMN($G$14)-1)/25*12),0)-1),0))*(2+1/12),0))</f>
        <v>0</v>
      </c>
      <c r="AF9" s="798"/>
    </row>
    <row r="11" spans="1:33" ht="65.25" customHeight="1" x14ac:dyDescent="0.2">
      <c r="A11" s="250" t="s">
        <v>837</v>
      </c>
      <c r="C11" s="801"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IF($H$26&lt;&gt;"",UPPER($H$26),
 IF($S$35&lt;&gt;"",UPPER($S$35),""))))))</f>
        <v>ALTERE O TIPO DE ORÇAMENTO NA ABA 'MENU' PARA LICITADO.</v>
      </c>
      <c r="D11" s="801"/>
      <c r="F11" s="252" cm="1">
        <f t="array" aca="1" ref="F11" ca="1">IF(F$12&gt;CÁLCULO.NúmeroDeFrentes,"",OFFSET(CÁLCULO!$P$12,0,F$12))</f>
        <v>1</v>
      </c>
      <c r="H11" s="252" cm="1">
        <f t="array" aca="1" ref="H11" ca="1">IF(H$12&gt;CÁLCULO.NúmeroDeFrentes,"",OFFSET(CÁLCULO!$P$12,0,H$12))</f>
        <v>1</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70" t="s">
        <v>760</v>
      </c>
      <c r="C12" s="770" t="s">
        <v>778</v>
      </c>
      <c r="D12" s="770"/>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70"/>
      <c r="C13" s="770"/>
      <c r="D13" s="770"/>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0" t="str">
        <f>EVENTOS!$D$15</f>
        <v/>
      </c>
      <c r="D15" s="790"/>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22" ca="1" si="1">IF(C16=0,"","F")</f>
        <v>F</v>
      </c>
      <c r="B16" s="247">
        <f t="shared" ref="B16:B22" ca="1" si="2">OFFSET(B16,-1,0)+1</f>
        <v>1</v>
      </c>
      <c r="C16" s="787" t="str">
        <f ca="1">IF(AUTOEVENTO="Manual",OFFSET(EVENTOS!$D$15,$B16-$B$15,0),IF(B16&lt;=MAX(CÁLCULO!$M$15:$M$56),VLOOKUP($B16,CÁLCULO!$M$15:$N$56,2,FALSE),0))</f>
        <v>SERVIÇOS PRELIMINARES ETAPA 1</v>
      </c>
      <c r="D16" s="787"/>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ca="1">IF(C17=0,"","F")</f>
        <v>F</v>
      </c>
      <c r="B17" s="247">
        <f ca="1">OFFSET(B17,-1,0)+1</f>
        <v>2</v>
      </c>
      <c r="C17" s="787" t="str">
        <f ca="1">IF(AUTOEVENTO="Manual",OFFSET(EVENTOS!$D$15,$B17-$B$15,0),IF(B17&lt;=MAX(CÁLCULO!$M$15:$M$56),VLOOKUP($B17,CÁLCULO!$M$15:$N$56,2,FALSE),0))</f>
        <v>SERVIÇOS PRELIMINARES ETAPA 2</v>
      </c>
      <c r="D17" s="787"/>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7" t="str">
        <f ca="1">IF(AUTOEVENTO="Manual",OFFSET(EVENTOS!$D$15,$B18-$B$15,0),IF(B18&lt;=MAX(CÁLCULO!$M$15:$M$56),VLOOKUP($B18,CÁLCULO!$M$15:$N$56,2,FALSE),0))</f>
        <v>DRENAGEM</v>
      </c>
      <c r="D18" s="787"/>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7" t="str">
        <f ca="1">IF(AUTOEVENTO="Manual",OFFSET(EVENTOS!$D$15,$B19-$B$15,0),IF(B19&lt;=MAX(CÁLCULO!$M$15:$M$56),VLOOKUP($B19,CÁLCULO!$M$15:$N$56,2,FALSE),0))</f>
        <v>RECAPEAMENTO/RECUPERAÇÃO/PAVIMENTAÇÃO ASFÁLTICA - TRECHO DA RUA MARCOLINO GOMES DE OLIVEIRA</v>
      </c>
      <c r="D19" s="787"/>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7" t="str">
        <f ca="1">IF(AUTOEVENTO="Manual",OFFSET(EVENTOS!$D$15,$B20-$B$15,0),IF(B20&lt;=MAX(CÁLCULO!$M$15:$M$56),VLOOKUP($B20,CÁLCULO!$M$15:$N$56,2,FALSE),0))</f>
        <v>RECAPEAMENTO/RECUPERAÇÃO ASFÁLTICA - TRECHO DA RUA ANTÔNIO BANEDITO DE OLIVEIRA</v>
      </c>
      <c r="D20" s="787"/>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7" t="str">
        <f ca="1">IF(AUTOEVENTO="Manual",OFFSET(EVENTOS!$D$15,$B21-$B$15,0),IF(B21&lt;=MAX(CÁLCULO!$M$15:$M$56),VLOOKUP($B21,CÁLCULO!$M$15:$N$56,2,FALSE),0))</f>
        <v>RECAPEAMENTO/RECUPERAÇÃO ASFÁLTICA - TRECHO DA RUA ANTÔNIO MORAES ROSA</v>
      </c>
      <c r="D21" s="787"/>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87" t="str">
        <f ca="1">IF(AUTOEVENTO="Manual",OFFSET(EVENTOS!$D$15,$B22-$B$15,0),IF(B22&lt;=MAX(CÁLCULO!$M$15:$M$56),VLOOKUP($B22,CÁLCULO!$M$15:$N$56,2,FALSE),0))</f>
        <v>LEVANTAMENTO FINAL</v>
      </c>
      <c r="D22" s="787"/>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4.5" customHeight="1" x14ac:dyDescent="0.2">
      <c r="A23" s="7" t="s">
        <v>536</v>
      </c>
      <c r="B23" s="618"/>
      <c r="C23" s="619"/>
      <c r="D23" s="419"/>
      <c r="F23" s="636"/>
      <c r="H23" s="618"/>
      <c r="I23" s="619"/>
      <c r="J23" s="619"/>
      <c r="K23" s="619"/>
      <c r="L23" s="619"/>
      <c r="M23" s="619"/>
      <c r="N23" s="619"/>
      <c r="O23" s="619"/>
      <c r="P23" s="619"/>
      <c r="Q23" s="619"/>
      <c r="R23" s="619"/>
      <c r="S23" s="619"/>
      <c r="T23" s="619"/>
      <c r="U23" s="619"/>
      <c r="V23" s="619"/>
      <c r="W23" s="619"/>
      <c r="X23" s="619"/>
      <c r="Y23" s="619"/>
      <c r="Z23" s="619"/>
      <c r="AA23" s="619"/>
      <c r="AB23" s="619"/>
      <c r="AC23" s="619"/>
      <c r="AD23" s="619"/>
      <c r="AE23" s="619"/>
      <c r="AF23" s="419"/>
    </row>
    <row r="24" spans="1:32" x14ac:dyDescent="0.2">
      <c r="A24" s="7" t="s">
        <v>536</v>
      </c>
    </row>
    <row r="25" spans="1:32" x14ac:dyDescent="0.2">
      <c r="A25" s="7" t="s">
        <v>536</v>
      </c>
      <c r="I25" s="794" t="s">
        <v>839</v>
      </c>
      <c r="J25" s="794"/>
      <c r="K25" s="794"/>
      <c r="L25" s="794"/>
      <c r="M25" s="794"/>
      <c r="N25" s="794"/>
      <c r="O25" s="794"/>
      <c r="P25" s="794"/>
      <c r="Q25" s="794"/>
      <c r="R25" s="794"/>
      <c r="S25" s="794"/>
      <c r="T25" s="794"/>
      <c r="U25" s="794"/>
      <c r="V25" s="794"/>
      <c r="W25" s="794"/>
      <c r="X25" s="794"/>
      <c r="Y25" s="794"/>
      <c r="Z25" s="794"/>
      <c r="AA25" s="794"/>
      <c r="AB25" s="794"/>
      <c r="AC25" s="794"/>
      <c r="AD25" s="794"/>
      <c r="AE25" s="794"/>
      <c r="AF25" s="794"/>
    </row>
    <row r="26" spans="1:32" x14ac:dyDescent="0.2">
      <c r="A26" s="7" t="s">
        <v>536</v>
      </c>
      <c r="H26" s="583" t="str">
        <f>IF(INDEX($I$26:$AG$26,MATCH(PLE.Medicao,$I$27:$AG$27,0))="","Preencher a data da medição "&amp;PLE.Medicao,"")</f>
        <v>Preencher a data da medição 1</v>
      </c>
      <c r="I26" s="803"/>
      <c r="J26" s="791"/>
      <c r="K26" s="791"/>
      <c r="L26" s="791"/>
      <c r="M26" s="791"/>
      <c r="N26" s="791"/>
      <c r="O26" s="791"/>
      <c r="P26" s="791"/>
      <c r="Q26" s="791"/>
      <c r="R26" s="791"/>
      <c r="S26" s="791"/>
      <c r="T26" s="791"/>
      <c r="U26" s="791"/>
      <c r="V26" s="791"/>
      <c r="W26" s="791"/>
      <c r="X26" s="791"/>
      <c r="Y26" s="791"/>
      <c r="Z26" s="791"/>
      <c r="AA26" s="791"/>
      <c r="AB26" s="791"/>
      <c r="AC26" s="791"/>
      <c r="AD26" s="791"/>
      <c r="AE26" s="791"/>
      <c r="AF26" s="795"/>
    </row>
    <row r="27" spans="1:32" x14ac:dyDescent="0.2">
      <c r="A27" s="7" t="s">
        <v>536</v>
      </c>
      <c r="D27" s="269" t="s">
        <v>840</v>
      </c>
      <c r="I27" s="792">
        <f>IF(PLE.Medicao&lt;=12,1,TRUNC((PLE.Medicao - 2)/11,0) * 11 + 1)</f>
        <v>1</v>
      </c>
      <c r="J27" s="792"/>
      <c r="K27" s="792">
        <f>I27+1</f>
        <v>2</v>
      </c>
      <c r="L27" s="792"/>
      <c r="M27" s="792">
        <f>K27+1</f>
        <v>3</v>
      </c>
      <c r="N27" s="792"/>
      <c r="O27" s="792">
        <f>M27+1</f>
        <v>4</v>
      </c>
      <c r="P27" s="792"/>
      <c r="Q27" s="792">
        <f>O27+1</f>
        <v>5</v>
      </c>
      <c r="R27" s="792"/>
      <c r="S27" s="792">
        <f>Q27+1</f>
        <v>6</v>
      </c>
      <c r="T27" s="792"/>
      <c r="U27" s="792">
        <f>S27+1</f>
        <v>7</v>
      </c>
      <c r="V27" s="792"/>
      <c r="W27" s="792">
        <f>U27+1</f>
        <v>8</v>
      </c>
      <c r="X27" s="792"/>
      <c r="Y27" s="792">
        <f>W27+1</f>
        <v>9</v>
      </c>
      <c r="Z27" s="792"/>
      <c r="AA27" s="792">
        <f>Y27+1</f>
        <v>10</v>
      </c>
      <c r="AB27" s="792"/>
      <c r="AC27" s="792">
        <f>AA27+1</f>
        <v>11</v>
      </c>
      <c r="AD27" s="792"/>
      <c r="AE27" s="792">
        <f>AC27+1</f>
        <v>12</v>
      </c>
      <c r="AF27" s="792"/>
    </row>
    <row r="28" spans="1:32" x14ac:dyDescent="0.2">
      <c r="A28" s="7" t="s">
        <v>536</v>
      </c>
      <c r="D28" s="802" t="s">
        <v>799</v>
      </c>
      <c r="H28" s="270" t="s">
        <v>781</v>
      </c>
      <c r="I28" s="804">
        <f ca="1">ROUND(I29,2)/ORÇAMENTO!$X$15</f>
        <v>0</v>
      </c>
      <c r="J28" s="804"/>
      <c r="K28" s="793">
        <f ca="1">ROUND(K29,2)/ORÇAMENTO!$X$15</f>
        <v>0</v>
      </c>
      <c r="L28" s="793"/>
      <c r="M28" s="793">
        <f ca="1">ROUND(M29,2)/ORÇAMENTO!$X$15</f>
        <v>0</v>
      </c>
      <c r="N28" s="793"/>
      <c r="O28" s="793">
        <f ca="1">ROUND(O29,2)/ORÇAMENTO!$X$15</f>
        <v>0</v>
      </c>
      <c r="P28" s="793"/>
      <c r="Q28" s="793">
        <f ca="1">ROUND(Q29,2)/ORÇAMENTO!$X$15</f>
        <v>0</v>
      </c>
      <c r="R28" s="793"/>
      <c r="S28" s="793">
        <f ca="1">ROUND(S29,2)/ORÇAMENTO!$X$15</f>
        <v>0</v>
      </c>
      <c r="T28" s="793"/>
      <c r="U28" s="793">
        <f ca="1">ROUND(U29,2)/ORÇAMENTO!$X$15</f>
        <v>0</v>
      </c>
      <c r="V28" s="793"/>
      <c r="W28" s="793">
        <f ca="1">ROUND(W29,2)/ORÇAMENTO!$X$15</f>
        <v>0</v>
      </c>
      <c r="X28" s="793"/>
      <c r="Y28" s="793">
        <f ca="1">ROUND(Y29,2)/ORÇAMENTO!$X$15</f>
        <v>0</v>
      </c>
      <c r="Z28" s="793"/>
      <c r="AA28" s="793">
        <f ca="1">ROUND(AA29,2)/ORÇAMENTO!$X$15</f>
        <v>0</v>
      </c>
      <c r="AB28" s="793"/>
      <c r="AC28" s="793">
        <f ca="1">ROUND(AC29,2)/ORÇAMENTO!$X$15</f>
        <v>0</v>
      </c>
      <c r="AD28" s="793"/>
      <c r="AE28" s="793">
        <f ca="1">ROUND(AE29,2)/ORÇAMENTO!$X$15</f>
        <v>0</v>
      </c>
      <c r="AF28" s="793"/>
    </row>
    <row r="29" spans="1:32" x14ac:dyDescent="0.2">
      <c r="A29" s="7" t="s">
        <v>536</v>
      </c>
      <c r="D29" s="802"/>
      <c r="H29" s="11" t="s">
        <v>782</v>
      </c>
      <c r="I29" s="788" cm="1">
        <f t="array" aca="1" ref="I29" ca="1">IF(I27=1,I31,ROUND(I31,2)-ROUND(SUMIF(CÁLCULO!$AX$15:$BH$56,"&lt;="&amp;PLE!I27-1,CÁLCULO!$AB$15:$AL$56)*IF(AdmLocal="Automática",(1+CÁLCULO.TotalAdmLocal/(ORÇAMENTO!$X$15-CÁLCULO.TotalAdmLocal)),1),2))</f>
        <v>0</v>
      </c>
      <c r="J29" s="788"/>
      <c r="K29" s="788">
        <f ca="1">ROUND(K31,2)-ROUND(I31,2)</f>
        <v>0</v>
      </c>
      <c r="L29" s="788"/>
      <c r="M29" s="788">
        <f t="shared" ref="M29" ca="1" si="3">ROUND(M31,2)-ROUND(K31,2)</f>
        <v>0</v>
      </c>
      <c r="N29" s="788"/>
      <c r="O29" s="788">
        <f t="shared" ref="O29" ca="1" si="4">ROUND(O31,2)-ROUND(M31,2)</f>
        <v>0</v>
      </c>
      <c r="P29" s="788"/>
      <c r="Q29" s="788">
        <f t="shared" ref="Q29" ca="1" si="5">ROUND(Q31,2)-ROUND(O31,2)</f>
        <v>0</v>
      </c>
      <c r="R29" s="788"/>
      <c r="S29" s="788">
        <f t="shared" ref="S29" ca="1" si="6">ROUND(S31,2)-ROUND(Q31,2)</f>
        <v>0</v>
      </c>
      <c r="T29" s="788"/>
      <c r="U29" s="788">
        <f t="shared" ref="U29" ca="1" si="7">ROUND(U31,2)-ROUND(S31,2)</f>
        <v>0</v>
      </c>
      <c r="V29" s="788"/>
      <c r="W29" s="788">
        <f t="shared" ref="W29" ca="1" si="8">ROUND(W31,2)-ROUND(U31,2)</f>
        <v>0</v>
      </c>
      <c r="X29" s="788"/>
      <c r="Y29" s="788">
        <f t="shared" ref="Y29" ca="1" si="9">ROUND(Y31,2)-ROUND(W31,2)</f>
        <v>0</v>
      </c>
      <c r="Z29" s="788"/>
      <c r="AA29" s="788">
        <f t="shared" ref="AA29" ca="1" si="10">ROUND(AA31,2)-ROUND(Y31,2)</f>
        <v>0</v>
      </c>
      <c r="AB29" s="788"/>
      <c r="AC29" s="788">
        <f t="shared" ref="AC29" ca="1" si="11">ROUND(AC31,2)-ROUND(AA31,2)</f>
        <v>0</v>
      </c>
      <c r="AD29" s="788"/>
      <c r="AE29" s="788">
        <f t="shared" ref="AE29" ca="1" si="12">ROUND(AE31,2)-ROUND(AC31,2)</f>
        <v>0</v>
      </c>
      <c r="AF29" s="788"/>
    </row>
    <row r="30" spans="1:32" x14ac:dyDescent="0.2">
      <c r="A30" s="7" t="s">
        <v>536</v>
      </c>
      <c r="D30" s="802" t="s">
        <v>803</v>
      </c>
      <c r="H30" s="270" t="s">
        <v>781</v>
      </c>
      <c r="I30" s="806">
        <f ca="1">ROUND(I31,2)/ORÇAMENTO!$X$15</f>
        <v>0</v>
      </c>
      <c r="J30" s="806"/>
      <c r="K30" s="789">
        <f ca="1">ROUND(K31,2)/ORÇAMENTO!$X$15</f>
        <v>0</v>
      </c>
      <c r="L30" s="789"/>
      <c r="M30" s="789">
        <f ca="1">ROUND(M31,2)/ORÇAMENTO!$X$15</f>
        <v>0</v>
      </c>
      <c r="N30" s="789"/>
      <c r="O30" s="789">
        <f ca="1">ROUND(O31,2)/ORÇAMENTO!$X$15</f>
        <v>0</v>
      </c>
      <c r="P30" s="789"/>
      <c r="Q30" s="789">
        <f ca="1">ROUND(Q31,2)/ORÇAMENTO!$X$15</f>
        <v>0</v>
      </c>
      <c r="R30" s="789"/>
      <c r="S30" s="789">
        <f ca="1">ROUND(S31,2)/ORÇAMENTO!$X$15</f>
        <v>0</v>
      </c>
      <c r="T30" s="789"/>
      <c r="U30" s="789">
        <f ca="1">ROUND(U31,2)/ORÇAMENTO!$X$15</f>
        <v>0</v>
      </c>
      <c r="V30" s="789"/>
      <c r="W30" s="789">
        <f ca="1">ROUND(W31,2)/ORÇAMENTO!$X$15</f>
        <v>0</v>
      </c>
      <c r="X30" s="789"/>
      <c r="Y30" s="789">
        <f ca="1">ROUND(Y31,2)/ORÇAMENTO!$X$15</f>
        <v>0</v>
      </c>
      <c r="Z30" s="789"/>
      <c r="AA30" s="789">
        <f ca="1">ROUND(AA31,2)/ORÇAMENTO!$X$15</f>
        <v>0</v>
      </c>
      <c r="AB30" s="789"/>
      <c r="AC30" s="789">
        <f ca="1">ROUND(AC31,2)/ORÇAMENTO!$X$15</f>
        <v>0</v>
      </c>
      <c r="AD30" s="789"/>
      <c r="AE30" s="789">
        <f ca="1">ROUND(AE31,2)/ORÇAMENTO!$X$15</f>
        <v>0</v>
      </c>
      <c r="AF30" s="789"/>
    </row>
    <row r="31" spans="1:32" x14ac:dyDescent="0.2">
      <c r="A31" s="7" t="s">
        <v>536</v>
      </c>
      <c r="D31" s="802"/>
      <c r="H31" s="11" t="s">
        <v>782</v>
      </c>
      <c r="I31" s="805" cm="1">
        <f t="array" aca="1" ref="I31" ca="1">SUMIF(CÁLCULO!$AX$15:$BH$56,"&lt;="&amp;PLE!I27,CÁLCULO!$AB$15:$AL$56)*IF(AdmLocal="Automática",(1+CÁLCULO.TotalAdmLocal/(ORÇAMENTO!$X$15-CÁLCULO.TotalAdmLocal)),1)</f>
        <v>0</v>
      </c>
      <c r="J31" s="805"/>
      <c r="K31" s="788" cm="1">
        <f t="array" aca="1" ref="K31" ca="1">SUMIF(CÁLCULO!$AX$15:$BH$56,"&lt;="&amp;PLE!K27,CÁLCULO!$AB$15:$AL$56)*IF(AdmLocal="Automática",(1+CÁLCULO.TotalAdmLocal/(ORÇAMENTO!$X$15-CÁLCULO.TotalAdmLocal)),1)</f>
        <v>0</v>
      </c>
      <c r="L31" s="788"/>
      <c r="M31" s="788" cm="1">
        <f t="array" aca="1" ref="M31" ca="1">SUMIF(CÁLCULO!$AX$15:$BH$56,"&lt;="&amp;PLE!M27,CÁLCULO!$AB$15:$AL$56)*IF(AdmLocal="Automática",(1+CÁLCULO.TotalAdmLocal/(ORÇAMENTO!$X$15-CÁLCULO.TotalAdmLocal)),1)</f>
        <v>0</v>
      </c>
      <c r="N31" s="788"/>
      <c r="O31" s="788" cm="1">
        <f t="array" aca="1" ref="O31" ca="1">SUMIF(CÁLCULO!$AX$15:$BH$56,"&lt;="&amp;PLE!O27,CÁLCULO!$AB$15:$AL$56)*IF(AdmLocal="Automática",(1+CÁLCULO.TotalAdmLocal/(ORÇAMENTO!$X$15-CÁLCULO.TotalAdmLocal)),1)</f>
        <v>0</v>
      </c>
      <c r="P31" s="788"/>
      <c r="Q31" s="788" cm="1">
        <f t="array" aca="1" ref="Q31" ca="1">SUMIF(CÁLCULO!$AX$15:$BH$56,"&lt;="&amp;PLE!Q27,CÁLCULO!$AB$15:$AL$56)*IF(AdmLocal="Automática",(1+CÁLCULO.TotalAdmLocal/(ORÇAMENTO!$X$15-CÁLCULO.TotalAdmLocal)),1)</f>
        <v>0</v>
      </c>
      <c r="R31" s="788"/>
      <c r="S31" s="788" cm="1">
        <f t="array" aca="1" ref="S31" ca="1">SUMIF(CÁLCULO!$AX$15:$BH$56,"&lt;="&amp;PLE!S27,CÁLCULO!$AB$15:$AL$56)*IF(AdmLocal="Automática",(1+CÁLCULO.TotalAdmLocal/(ORÇAMENTO!$X$15-CÁLCULO.TotalAdmLocal)),1)</f>
        <v>0</v>
      </c>
      <c r="T31" s="788"/>
      <c r="U31" s="788" cm="1">
        <f t="array" aca="1" ref="U31" ca="1">SUMIF(CÁLCULO!$AX$15:$BH$56,"&lt;="&amp;PLE!U27,CÁLCULO!$AB$15:$AL$56)*IF(AdmLocal="Automática",(1+CÁLCULO.TotalAdmLocal/(ORÇAMENTO!$X$15-CÁLCULO.TotalAdmLocal)),1)</f>
        <v>0</v>
      </c>
      <c r="V31" s="788"/>
      <c r="W31" s="788" cm="1">
        <f t="array" aca="1" ref="W31" ca="1">SUMIF(CÁLCULO!$AX$15:$BH$56,"&lt;="&amp;PLE!W27,CÁLCULO!$AB$15:$AL$56)*IF(AdmLocal="Automática",(1+CÁLCULO.TotalAdmLocal/(ORÇAMENTO!$X$15-CÁLCULO.TotalAdmLocal)),1)</f>
        <v>0</v>
      </c>
      <c r="X31" s="788"/>
      <c r="Y31" s="788" cm="1">
        <f t="array" aca="1" ref="Y31" ca="1">SUMIF(CÁLCULO!$AX$15:$BH$56,"&lt;="&amp;PLE!Y27,CÁLCULO!$AB$15:$AL$56)*IF(AdmLocal="Automática",(1+CÁLCULO.TotalAdmLocal/(ORÇAMENTO!$X$15-CÁLCULO.TotalAdmLocal)),1)</f>
        <v>0</v>
      </c>
      <c r="Z31" s="788"/>
      <c r="AA31" s="788" cm="1">
        <f t="array" aca="1" ref="AA31" ca="1">SUMIF(CÁLCULO!$AX$15:$BH$56,"&lt;="&amp;PLE!AA27,CÁLCULO!$AB$15:$AL$56)*IF(AdmLocal="Automática",(1+CÁLCULO.TotalAdmLocal/(ORÇAMENTO!$X$15-CÁLCULO.TotalAdmLocal)),1)</f>
        <v>0</v>
      </c>
      <c r="AB31" s="788"/>
      <c r="AC31" s="788" cm="1">
        <f t="array" aca="1" ref="AC31" ca="1">SUMIF(CÁLCULO!$AX$15:$BH$56,"&lt;="&amp;PLE!AC27,CÁLCULO!$AB$15:$AL$56)*IF(AdmLocal="Automática",(1+CÁLCULO.TotalAdmLocal/(ORÇAMENTO!$X$15-CÁLCULO.TotalAdmLocal)),1)</f>
        <v>0</v>
      </c>
      <c r="AD31" s="788"/>
      <c r="AE31" s="788" cm="1">
        <f t="array" aca="1" ref="AE31" ca="1">SUMIF(CÁLCULO!$AX$15:$BH$56,"&lt;="&amp;PLE!AE27,CÁLCULO!$AB$15:$AL$56)*IF(AdmLocal="Automática",(1+CÁLCULO.TotalAdmLocal/(ORÇAMENTO!$X$15-CÁLCULO.TotalAdmLocal)),1)</f>
        <v>0</v>
      </c>
      <c r="AF31" s="788"/>
    </row>
    <row r="32" spans="1:32" ht="12.75" customHeight="1" x14ac:dyDescent="0.2">
      <c r="A32" s="7"/>
      <c r="D32" s="552" t="s">
        <v>784</v>
      </c>
      <c r="H32" s="551" t="s">
        <v>781</v>
      </c>
      <c r="I32" s="755">
        <f ca="1">IF(OR(ACOMPANHAMENTO&lt;&gt;"PLE",I27&gt;PLE.Medicao),0,
   IF(AUTOEVENTO="Manual",
      IF(AdmLocal="Automática",I30,
         IF(Import.EventoAdmLocal="","",SUMIF(OFFSET($G$14,CRONOPLE!$A$8+1,1,1,OFFSET($AG$12,0,-1)),"&lt;="&amp;I27,OFFSET(EVENTOS!$G$14,CRONOPLE!$A$8+1,1,1,OFFSET($AG$12,0,-1)))/OFFSET(EVENTOS!$G$14,CRONOPLE!$A$8+1,-1))),
      IF(Import.EventoAdmLocal="","",SUMIF(OFFSET(CÁLCULO!$AW$15,CRONOPLE!$A$10,1,OFFSET(ORÇAMENTO!$D$15,CRONOPLE!$A$10,0),COLUMN(CÁLCULO!$BH$15)-COLUMN(CÁLCULO!$AW$15)-1),"&lt;="&amp;I27,OFFSET(CÁLCULO!$AA$15,CRONOPLE!$A$10,1,OFFSET(ORÇAMENTO!$D$15,CRONOPLE!$A$10,0),COLUMN(CÁLCULO!$AL$15)-COLUMN(CÁLCULO!$AA$15)-1))/OFFSET(ORÇAMENTO!$X$15,CRONOPLE!$A$10,0))))</f>
        <v>0</v>
      </c>
      <c r="J32" s="755"/>
      <c r="K32" s="755">
        <f ca="1">IF(OR(ACOMPANHAMENTO&lt;&gt;"PLE",K27&gt;PLE.Medicao),0,
   IF(AUTOEVENTO="Manual",
      IF(AdmLocal="Automática",K30,
         IF(Import.EventoAdmLocal="","",SUMIF(OFFSET($G$14,CRONOPLE!$A$8+1,1,1,OFFSET($AG$12,0,-1)),"&lt;="&amp;K27,OFFSET(EVENTOS!$G$14,CRONOPLE!$A$8+1,1,1,OFFSET($AG$12,0,-1)))/OFFSET(EVENTOS!$G$14,CRONOPLE!$A$8+1,-1))),
      IF(Import.EventoAdmLocal="","",SUMIF(OFFSET(CÁLCULO!$AW$15,CRONOPLE!$A$10,1,OFFSET(ORÇAMENTO!$D$15,CRONOPLE!$A$10,0),COLUMN(CÁLCULO!$BH$15)-COLUMN(CÁLCULO!$AW$15)-1),"&lt;="&amp;K27,OFFSET(CÁLCULO!$AA$15,CRONOPLE!$A$10,1,OFFSET(ORÇAMENTO!$D$15,CRONOPLE!$A$10,0),COLUMN(CÁLCULO!$AL$15)-COLUMN(CÁLCULO!$AA$15)-1))/OFFSET(ORÇAMENTO!$X$15,CRONOPLE!$A$10,0))))</f>
        <v>0</v>
      </c>
      <c r="L32" s="755"/>
      <c r="M32" s="755">
        <f ca="1">IF(OR(ACOMPANHAMENTO&lt;&gt;"PLE",M27&gt;PLE.Medicao),0,
   IF(AUTOEVENTO="Manual",
      IF(AdmLocal="Automática",M30,
         IF(Import.EventoAdmLocal="","",SUMIF(OFFSET($G$14,CRONOPLE!$A$8+1,1,1,OFFSET($AG$12,0,-1)),"&lt;="&amp;M27,OFFSET(EVENTOS!$G$14,CRONOPLE!$A$8+1,1,1,OFFSET($AG$12,0,-1)))/OFFSET(EVENTOS!$G$14,CRONOPLE!$A$8+1,-1))),
      IF(Import.EventoAdmLocal="","",SUMIF(OFFSET(CÁLCULO!$AW$15,CRONOPLE!$A$10,1,OFFSET(ORÇAMENTO!$D$15,CRONOPLE!$A$10,0),COLUMN(CÁLCULO!$BH$15)-COLUMN(CÁLCULO!$AW$15)-1),"&lt;="&amp;M27,OFFSET(CÁLCULO!$AA$15,CRONOPLE!$A$10,1,OFFSET(ORÇAMENTO!$D$15,CRONOPLE!$A$10,0),COLUMN(CÁLCULO!$AL$15)-COLUMN(CÁLCULO!$AA$15)-1))/OFFSET(ORÇAMENTO!$X$15,CRONOPLE!$A$10,0))))</f>
        <v>0</v>
      </c>
      <c r="N32" s="755"/>
      <c r="O32" s="755">
        <f ca="1">IF(OR(ACOMPANHAMENTO&lt;&gt;"PLE",O27&gt;PLE.Medicao),0,
   IF(AUTOEVENTO="Manual",
      IF(AdmLocal="Automática",O30,
         IF(Import.EventoAdmLocal="","",SUMIF(OFFSET($G$14,CRONOPLE!$A$8+1,1,1,OFFSET($AG$12,0,-1)),"&lt;="&amp;O27,OFFSET(EVENTOS!$G$14,CRONOPLE!$A$8+1,1,1,OFFSET($AG$12,0,-1)))/OFFSET(EVENTOS!$G$14,CRONOPLE!$A$8+1,-1))),
      IF(Import.EventoAdmLocal="","",SUMIF(OFFSET(CÁLCULO!$AW$15,CRONOPLE!$A$10,1,OFFSET(ORÇAMENTO!$D$15,CRONOPLE!$A$10,0),COLUMN(CÁLCULO!$BH$15)-COLUMN(CÁLCULO!$AW$15)-1),"&lt;="&amp;O27,OFFSET(CÁLCULO!$AA$15,CRONOPLE!$A$10,1,OFFSET(ORÇAMENTO!$D$15,CRONOPLE!$A$10,0),COLUMN(CÁLCULO!$AL$15)-COLUMN(CÁLCULO!$AA$15)-1))/OFFSET(ORÇAMENTO!$X$15,CRONOPLE!$A$10,0))))</f>
        <v>0</v>
      </c>
      <c r="P32" s="755"/>
      <c r="Q32" s="755">
        <f ca="1">IF(OR(ACOMPANHAMENTO&lt;&gt;"PLE",Q27&gt;PLE.Medicao),0,
   IF(AUTOEVENTO="Manual",
      IF(AdmLocal="Automática",Q30,
         IF(Import.EventoAdmLocal="","",SUMIF(OFFSET($G$14,CRONOPLE!$A$8+1,1,1,OFFSET($AG$12,0,-1)),"&lt;="&amp;Q27,OFFSET(EVENTOS!$G$14,CRONOPLE!$A$8+1,1,1,OFFSET($AG$12,0,-1)))/OFFSET(EVENTOS!$G$14,CRONOPLE!$A$8+1,-1))),
      IF(Import.EventoAdmLocal="","",SUMIF(OFFSET(CÁLCULO!$AW$15,CRONOPLE!$A$10,1,OFFSET(ORÇAMENTO!$D$15,CRONOPLE!$A$10,0),COLUMN(CÁLCULO!$BH$15)-COLUMN(CÁLCULO!$AW$15)-1),"&lt;="&amp;Q27,OFFSET(CÁLCULO!$AA$15,CRONOPLE!$A$10,1,OFFSET(ORÇAMENTO!$D$15,CRONOPLE!$A$10,0),COLUMN(CÁLCULO!$AL$15)-COLUMN(CÁLCULO!$AA$15)-1))/OFFSET(ORÇAMENTO!$X$15,CRONOPLE!$A$10,0))))</f>
        <v>0</v>
      </c>
      <c r="R32" s="755"/>
      <c r="S32" s="755">
        <f ca="1">IF(OR(ACOMPANHAMENTO&lt;&gt;"PLE",S27&gt;PLE.Medicao),0,
   IF(AUTOEVENTO="Manual",
      IF(AdmLocal="Automática",S30,
         IF(Import.EventoAdmLocal="","",SUMIF(OFFSET($G$14,CRONOPLE!$A$8+1,1,1,OFFSET($AG$12,0,-1)),"&lt;="&amp;S27,OFFSET(EVENTOS!$G$14,CRONOPLE!$A$8+1,1,1,OFFSET($AG$12,0,-1)))/OFFSET(EVENTOS!$G$14,CRONOPLE!$A$8+1,-1))),
      IF(Import.EventoAdmLocal="","",SUMIF(OFFSET(CÁLCULO!$AW$15,CRONOPLE!$A$10,1,OFFSET(ORÇAMENTO!$D$15,CRONOPLE!$A$10,0),COLUMN(CÁLCULO!$BH$15)-COLUMN(CÁLCULO!$AW$15)-1),"&lt;="&amp;S27,OFFSET(CÁLCULO!$AA$15,CRONOPLE!$A$10,1,OFFSET(ORÇAMENTO!$D$15,CRONOPLE!$A$10,0),COLUMN(CÁLCULO!$AL$15)-COLUMN(CÁLCULO!$AA$15)-1))/OFFSET(ORÇAMENTO!$X$15,CRONOPLE!$A$10,0))))</f>
        <v>0</v>
      </c>
      <c r="T32" s="755"/>
      <c r="U32" s="755">
        <f ca="1">IF(OR(ACOMPANHAMENTO&lt;&gt;"PLE",U27&gt;PLE.Medicao),0,
   IF(AUTOEVENTO="Manual",
      IF(AdmLocal="Automática",U30,
         IF(Import.EventoAdmLocal="","",SUMIF(OFFSET($G$14,CRONOPLE!$A$8+1,1,1,OFFSET($AG$12,0,-1)),"&lt;="&amp;U27,OFFSET(EVENTOS!$G$14,CRONOPLE!$A$8+1,1,1,OFFSET($AG$12,0,-1)))/OFFSET(EVENTOS!$G$14,CRONOPLE!$A$8+1,-1))),
      IF(Import.EventoAdmLocal="","",SUMIF(OFFSET(CÁLCULO!$AW$15,CRONOPLE!$A$10,1,OFFSET(ORÇAMENTO!$D$15,CRONOPLE!$A$10,0),COLUMN(CÁLCULO!$BH$15)-COLUMN(CÁLCULO!$AW$15)-1),"&lt;="&amp;U27,OFFSET(CÁLCULO!$AA$15,CRONOPLE!$A$10,1,OFFSET(ORÇAMENTO!$D$15,CRONOPLE!$A$10,0),COLUMN(CÁLCULO!$AL$15)-COLUMN(CÁLCULO!$AA$15)-1))/OFFSET(ORÇAMENTO!$X$15,CRONOPLE!$A$10,0))))</f>
        <v>0</v>
      </c>
      <c r="V32" s="755"/>
      <c r="W32" s="755">
        <f ca="1">IF(OR(ACOMPANHAMENTO&lt;&gt;"PLE",W27&gt;PLE.Medicao),0,
   IF(AUTOEVENTO="Manual",
      IF(AdmLocal="Automática",W30,
         IF(Import.EventoAdmLocal="","",SUMIF(OFFSET($G$14,CRONOPLE!$A$8+1,1,1,OFFSET($AG$12,0,-1)),"&lt;="&amp;W27,OFFSET(EVENTOS!$G$14,CRONOPLE!$A$8+1,1,1,OFFSET($AG$12,0,-1)))/OFFSET(EVENTOS!$G$14,CRONOPLE!$A$8+1,-1))),
      IF(Import.EventoAdmLocal="","",SUMIF(OFFSET(CÁLCULO!$AW$15,CRONOPLE!$A$10,1,OFFSET(ORÇAMENTO!$D$15,CRONOPLE!$A$10,0),COLUMN(CÁLCULO!$BH$15)-COLUMN(CÁLCULO!$AW$15)-1),"&lt;="&amp;W27,OFFSET(CÁLCULO!$AA$15,CRONOPLE!$A$10,1,OFFSET(ORÇAMENTO!$D$15,CRONOPLE!$A$10,0),COLUMN(CÁLCULO!$AL$15)-COLUMN(CÁLCULO!$AA$15)-1))/OFFSET(ORÇAMENTO!$X$15,CRONOPLE!$A$10,0))))</f>
        <v>0</v>
      </c>
      <c r="X32" s="755"/>
      <c r="Y32" s="755">
        <f ca="1">IF(OR(ACOMPANHAMENTO&lt;&gt;"PLE",Y27&gt;PLE.Medicao),0,
   IF(AUTOEVENTO="Manual",
      IF(AdmLocal="Automática",Y30,
         IF(Import.EventoAdmLocal="","",SUMIF(OFFSET($G$14,CRONOPLE!$A$8+1,1,1,OFFSET($AG$12,0,-1)),"&lt;="&amp;Y27,OFFSET(EVENTOS!$G$14,CRONOPLE!$A$8+1,1,1,OFFSET($AG$12,0,-1)))/OFFSET(EVENTOS!$G$14,CRONOPLE!$A$8+1,-1))),
      IF(Import.EventoAdmLocal="","",SUMIF(OFFSET(CÁLCULO!$AW$15,CRONOPLE!$A$10,1,OFFSET(ORÇAMENTO!$D$15,CRONOPLE!$A$10,0),COLUMN(CÁLCULO!$BH$15)-COLUMN(CÁLCULO!$AW$15)-1),"&lt;="&amp;Y27,OFFSET(CÁLCULO!$AA$15,CRONOPLE!$A$10,1,OFFSET(ORÇAMENTO!$D$15,CRONOPLE!$A$10,0),COLUMN(CÁLCULO!$AL$15)-COLUMN(CÁLCULO!$AA$15)-1))/OFFSET(ORÇAMENTO!$X$15,CRONOPLE!$A$10,0))))</f>
        <v>0</v>
      </c>
      <c r="Z32" s="755"/>
      <c r="AA32" s="755">
        <f ca="1">IF(OR(ACOMPANHAMENTO&lt;&gt;"PLE",AA27&gt;PLE.Medicao),0,
   IF(AUTOEVENTO="Manual",
      IF(AdmLocal="Automática",AA30,
         IF(Import.EventoAdmLocal="","",SUMIF(OFFSET($G$14,CRONOPLE!$A$8+1,1,1,OFFSET($AG$12,0,-1)),"&lt;="&amp;AA27,OFFSET(EVENTOS!$G$14,CRONOPLE!$A$8+1,1,1,OFFSET($AG$12,0,-1)))/OFFSET(EVENTOS!$G$14,CRONOPLE!$A$8+1,-1))),
      IF(Import.EventoAdmLocal="","",SUMIF(OFFSET(CÁLCULO!$AW$15,CRONOPLE!$A$10,1,OFFSET(ORÇAMENTO!$D$15,CRONOPLE!$A$10,0),COLUMN(CÁLCULO!$BH$15)-COLUMN(CÁLCULO!$AW$15)-1),"&lt;="&amp;AA27,OFFSET(CÁLCULO!$AA$15,CRONOPLE!$A$10,1,OFFSET(ORÇAMENTO!$D$15,CRONOPLE!$A$10,0),COLUMN(CÁLCULO!$AL$15)-COLUMN(CÁLCULO!$AA$15)-1))/OFFSET(ORÇAMENTO!$X$15,CRONOPLE!$A$10,0))))</f>
        <v>0</v>
      </c>
      <c r="AB32" s="755"/>
      <c r="AC32" s="755">
        <f ca="1">IF(OR(ACOMPANHAMENTO&lt;&gt;"PLE",AC27&gt;PLE.Medicao),0,
   IF(AUTOEVENTO="Manual",
      IF(AdmLocal="Automática",AC30,
         IF(Import.EventoAdmLocal="","",SUMIF(OFFSET($G$14,CRONOPLE!$A$8+1,1,1,OFFSET($AG$12,0,-1)),"&lt;="&amp;AC27,OFFSET(EVENTOS!$G$14,CRONOPLE!$A$8+1,1,1,OFFSET($AG$12,0,-1)))/OFFSET(EVENTOS!$G$14,CRONOPLE!$A$8+1,-1))),
      IF(Import.EventoAdmLocal="","",SUMIF(OFFSET(CÁLCULO!$AW$15,CRONOPLE!$A$10,1,OFFSET(ORÇAMENTO!$D$15,CRONOPLE!$A$10,0),COLUMN(CÁLCULO!$BH$15)-COLUMN(CÁLCULO!$AW$15)-1),"&lt;="&amp;AC27,OFFSET(CÁLCULO!$AA$15,CRONOPLE!$A$10,1,OFFSET(ORÇAMENTO!$D$15,CRONOPLE!$A$10,0),COLUMN(CÁLCULO!$AL$15)-COLUMN(CÁLCULO!$AA$15)-1))/OFFSET(ORÇAMENTO!$X$15,CRONOPLE!$A$10,0))))</f>
        <v>0</v>
      </c>
      <c r="AD32" s="755"/>
      <c r="AE32" s="755">
        <f ca="1">IF(OR(ACOMPANHAMENTO&lt;&gt;"PLE",AE27&gt;PLE.Medicao),0,
   IF(AUTOEVENTO="Manual",
      IF(AdmLocal="Automática",AE30,
         IF(Import.EventoAdmLocal="","",SUMIF(OFFSET($G$14,CRONOPLE!$A$8+1,1,1,OFFSET($AG$12,0,-1)),"&lt;="&amp;AE27,OFFSET(EVENTOS!$G$14,CRONOPLE!$A$8+1,1,1,OFFSET($AG$12,0,-1)))/OFFSET(EVENTOS!$G$14,CRONOPLE!$A$8+1,-1))),
      IF(Import.EventoAdmLocal="","",SUMIF(OFFSET(CÁLCULO!$AW$15,CRONOPLE!$A$10,1,OFFSET(ORÇAMENTO!$D$15,CRONOPLE!$A$10,0),COLUMN(CÁLCULO!$BH$15)-COLUMN(CÁLCULO!$AW$15)-1),"&lt;="&amp;AE27,OFFSET(CÁLCULO!$AA$15,CRONOPLE!$A$10,1,OFFSET(ORÇAMENTO!$D$15,CRONOPLE!$A$10,0),COLUMN(CÁLCULO!$AL$15)-COLUMN(CÁLCULO!$AA$15)-1))/OFFSET(ORÇAMENTO!$X$15,CRONOPLE!$A$10,0))))</f>
        <v>0</v>
      </c>
      <c r="AF32" s="755"/>
    </row>
    <row r="33" spans="1:32" ht="13.5" x14ac:dyDescent="0.25">
      <c r="A33" s="7" t="s">
        <v>536</v>
      </c>
      <c r="D33" s="523"/>
      <c r="H33" s="583" t="str">
        <f ca="1">IF(COUNTIF(I33:AG33,"%Adm&gt;%Global")&gt;0,"Verificar proporcionalidade da Administração Local","")</f>
        <v/>
      </c>
      <c r="I33" s="535" t="str">
        <f ca="1">IF(I32="","",IF(ROUND(I32,4)&gt;ROUND(I30,4),"%Adm&gt;%Global",""))</f>
        <v/>
      </c>
      <c r="J33" s="524"/>
      <c r="K33" s="535" t="str">
        <f t="shared" ref="K33" ca="1" si="13">IF(K32="","",IF(ROUND(K32,4)&gt;ROUND(K30,4),"%Adm&gt;%Global",""))</f>
        <v/>
      </c>
      <c r="L33" s="524"/>
      <c r="M33" s="535" t="str">
        <f t="shared" ref="M33" ca="1" si="14">IF(M32="","",IF(ROUND(M32,4)&gt;ROUND(M30,4),"%Adm&gt;%Global",""))</f>
        <v/>
      </c>
      <c r="N33" s="524"/>
      <c r="O33" s="535" t="str">
        <f t="shared" ref="O33" ca="1" si="15">IF(O32="","",IF(ROUND(O32,4)&gt;ROUND(O30,4),"%Adm&gt;%Global",""))</f>
        <v/>
      </c>
      <c r="P33" s="524"/>
      <c r="Q33" s="535" t="str">
        <f t="shared" ref="Q33" ca="1" si="16">IF(Q32="","",IF(ROUND(Q32,4)&gt;ROUND(Q30,4),"%Adm&gt;%Global",""))</f>
        <v/>
      </c>
      <c r="R33" s="524"/>
      <c r="S33" s="535" t="str">
        <f t="shared" ref="S33" ca="1" si="17">IF(S32="","",IF(ROUND(S32,4)&gt;ROUND(S30,4),"%Adm&gt;%Global",""))</f>
        <v/>
      </c>
      <c r="T33" s="524"/>
      <c r="U33" s="535" t="str">
        <f t="shared" ref="U33" ca="1" si="18">IF(U32="","",IF(ROUND(U32,4)&gt;ROUND(U30,4),"%Adm&gt;%Global",""))</f>
        <v/>
      </c>
      <c r="V33" s="524"/>
      <c r="W33" s="535" t="str">
        <f t="shared" ref="W33" ca="1" si="19">IF(W32="","",IF(ROUND(W32,4)&gt;ROUND(W30,4),"%Adm&gt;%Global",""))</f>
        <v/>
      </c>
      <c r="X33" s="524"/>
      <c r="Y33" s="535" t="str">
        <f t="shared" ref="Y33" ca="1" si="20">IF(Y32="","",IF(ROUND(Y32,4)&gt;ROUND(Y30,4),"%Adm&gt;%Global",""))</f>
        <v/>
      </c>
      <c r="Z33" s="524"/>
      <c r="AA33" s="535" t="str">
        <f t="shared" ref="AA33" ca="1" si="21">IF(AA32="","",IF(ROUND(AA32,4)&gt;ROUND(AA30,4),"%Adm&gt;%Global",""))</f>
        <v/>
      </c>
      <c r="AB33" s="524"/>
      <c r="AC33" s="535" t="str">
        <f t="shared" ref="AC33" ca="1" si="22">IF(AC32="","",IF(ROUND(AC32,4)&gt;ROUND(AC30,4),"%Adm&gt;%Global",""))</f>
        <v/>
      </c>
      <c r="AD33" s="524"/>
      <c r="AE33" s="535" t="str">
        <f t="shared" ref="AE33" ca="1" si="23">IF(AE32="","",IF(ROUND(AE32,4)&gt;ROUND(AE30,4),"%Adm&gt;%Global",""))</f>
        <v/>
      </c>
      <c r="AF33" s="524"/>
    </row>
    <row r="34" spans="1:32" ht="20.25" customHeight="1" x14ac:dyDescent="0.2">
      <c r="A34" s="7" t="s">
        <v>536</v>
      </c>
      <c r="I34" s="807"/>
      <c r="J34" s="807"/>
    </row>
    <row r="35" spans="1:32" ht="15" x14ac:dyDescent="0.25">
      <c r="A35" s="7" t="s">
        <v>536</v>
      </c>
      <c r="B35" s="693" t="str">
        <f>Import.Município</f>
        <v>PILAR DO SUL</v>
      </c>
      <c r="C35" s="693"/>
      <c r="D35" s="693"/>
      <c r="S35" s="562" t="str">
        <f ca="1">IF(DADOS!$D$50&lt;&gt;"","Preencher os Dados do Responsável pela Fiscalização, na aba DADOS.","")</f>
        <v/>
      </c>
      <c r="U35" s="139"/>
      <c r="V35" s="139"/>
      <c r="W35" s="139"/>
      <c r="X35" s="139"/>
      <c r="Y35" s="180"/>
      <c r="Z35" s="180"/>
      <c r="AA35" s="180"/>
      <c r="AB35" s="180"/>
      <c r="AC35" s="180"/>
      <c r="AD35" s="180"/>
    </row>
    <row r="36" spans="1:32" x14ac:dyDescent="0.2">
      <c r="A36" s="7" t="s">
        <v>536</v>
      </c>
      <c r="B36" s="9" t="s">
        <v>693</v>
      </c>
      <c r="U36" s="181" t="s">
        <v>841</v>
      </c>
    </row>
    <row r="37" spans="1:32" x14ac:dyDescent="0.2">
      <c r="A37" s="7" t="s">
        <v>536</v>
      </c>
      <c r="I37" s="79"/>
      <c r="U37" s="77" t="s">
        <v>240</v>
      </c>
      <c r="W37" s="271">
        <f t="array" ref="W37:W40">Import.RespFiscalização</f>
        <v>0</v>
      </c>
    </row>
    <row r="38" spans="1:32" x14ac:dyDescent="0.2">
      <c r="A38" s="7" t="s">
        <v>536</v>
      </c>
      <c r="B38" s="691">
        <f>DADOS!$C$48</f>
        <v>0</v>
      </c>
      <c r="C38" s="691"/>
      <c r="D38" s="691"/>
      <c r="I38" s="79"/>
      <c r="U38" s="77" t="s">
        <v>319</v>
      </c>
      <c r="W38" s="271">
        <v>0</v>
      </c>
    </row>
    <row r="39" spans="1:32" x14ac:dyDescent="0.2">
      <c r="A39" s="7" t="s">
        <v>536</v>
      </c>
      <c r="B39" s="140" t="s">
        <v>694</v>
      </c>
      <c r="C39" s="1"/>
      <c r="D39" s="1"/>
      <c r="I39" s="79"/>
      <c r="U39" s="77" t="s">
        <v>243</v>
      </c>
      <c r="W39" s="271">
        <v>0</v>
      </c>
    </row>
    <row r="40" spans="1:32" x14ac:dyDescent="0.2">
      <c r="U40" s="77" t="s">
        <v>246</v>
      </c>
      <c r="W40" s="12">
        <v>0</v>
      </c>
    </row>
  </sheetData>
  <sheetProtection algorithmName="SHA-512" hashValue="PeMaI1RQD7fuFxSuBz2e1Mo2SP/NErVtpNllfjq4dx+GA5Vb/f7bUH/QaVrEINwCrzDMFV19TGoSE1MfchYYGg==" saltValue="32RF4bv6uZ4FYxov2EsPsA==" spinCount="100000" sheet="1" objects="1" scenarios="1" autoFilter="0"/>
  <autoFilter ref="A13:A39" xr:uid="{00000000-0009-0000-0000-000009000000}"/>
  <mergeCells count="114">
    <mergeCell ref="B38:D38"/>
    <mergeCell ref="B35:D35"/>
    <mergeCell ref="D30:D31"/>
    <mergeCell ref="M30:N30"/>
    <mergeCell ref="M31:N31"/>
    <mergeCell ref="I31:J31"/>
    <mergeCell ref="K31:L31"/>
    <mergeCell ref="K30:L30"/>
    <mergeCell ref="I30:J30"/>
    <mergeCell ref="I34:J34"/>
    <mergeCell ref="I32:J32"/>
    <mergeCell ref="K32:L32"/>
    <mergeCell ref="M32:N32"/>
    <mergeCell ref="O32:P32"/>
    <mergeCell ref="Q32:R32"/>
    <mergeCell ref="O31:P31"/>
    <mergeCell ref="O30:P30"/>
    <mergeCell ref="Q30:R30"/>
    <mergeCell ref="AA26:AB26"/>
    <mergeCell ref="C1:D1"/>
    <mergeCell ref="C11:D11"/>
    <mergeCell ref="C12:D13"/>
    <mergeCell ref="U31:V31"/>
    <mergeCell ref="D28:D29"/>
    <mergeCell ref="C16:D16"/>
    <mergeCell ref="W29:X29"/>
    <mergeCell ref="S27:T27"/>
    <mergeCell ref="Q27:R27"/>
    <mergeCell ref="K27:L27"/>
    <mergeCell ref="K26:L26"/>
    <mergeCell ref="I26:J26"/>
    <mergeCell ref="I27:J27"/>
    <mergeCell ref="I28:J28"/>
    <mergeCell ref="M27:N27"/>
    <mergeCell ref="C18:D18"/>
    <mergeCell ref="B7:C7"/>
    <mergeCell ref="B12:B13"/>
    <mergeCell ref="AD3:AF3"/>
    <mergeCell ref="AD4:AF4"/>
    <mergeCell ref="AE6:AF6"/>
    <mergeCell ref="H7:N7"/>
    <mergeCell ref="O7:U7"/>
    <mergeCell ref="AE7:AF7"/>
    <mergeCell ref="V7:AD7"/>
    <mergeCell ref="Y9:Z9"/>
    <mergeCell ref="AE9:AF9"/>
    <mergeCell ref="J9:K9"/>
    <mergeCell ref="N9:T9"/>
    <mergeCell ref="AA29:AB29"/>
    <mergeCell ref="C19:D19"/>
    <mergeCell ref="C20:D20"/>
    <mergeCell ref="C21:D21"/>
    <mergeCell ref="C22:D22"/>
    <mergeCell ref="AE28:AF28"/>
    <mergeCell ref="S29:T29"/>
    <mergeCell ref="W27:X27"/>
    <mergeCell ref="AC29:AD29"/>
    <mergeCell ref="I25:AF25"/>
    <mergeCell ref="AE26:AF26"/>
    <mergeCell ref="Y26:Z26"/>
    <mergeCell ref="AE27:AF27"/>
    <mergeCell ref="AC27:AD27"/>
    <mergeCell ref="AA27:AB27"/>
    <mergeCell ref="M26:N26"/>
    <mergeCell ref="O26:P26"/>
    <mergeCell ref="Q28:R28"/>
    <mergeCell ref="C15:D15"/>
    <mergeCell ref="W26:X26"/>
    <mergeCell ref="AC26:AD26"/>
    <mergeCell ref="Y27:Z27"/>
    <mergeCell ref="AA28:AB28"/>
    <mergeCell ref="Y29:Z29"/>
    <mergeCell ref="U29:V29"/>
    <mergeCell ref="AC30:AD30"/>
    <mergeCell ref="U30:V30"/>
    <mergeCell ref="Y30:Z30"/>
    <mergeCell ref="O29:P29"/>
    <mergeCell ref="M29:N29"/>
    <mergeCell ref="K29:L29"/>
    <mergeCell ref="I29:J29"/>
    <mergeCell ref="O28:P28"/>
    <mergeCell ref="M28:N28"/>
    <mergeCell ref="K28:L28"/>
    <mergeCell ref="Q29:R29"/>
    <mergeCell ref="Y28:Z28"/>
    <mergeCell ref="S26:T26"/>
    <mergeCell ref="U26:V26"/>
    <mergeCell ref="Q26:R26"/>
    <mergeCell ref="S28:T28"/>
    <mergeCell ref="U27:V27"/>
    <mergeCell ref="C17:D17"/>
    <mergeCell ref="AC32:AD32"/>
    <mergeCell ref="Q31:R31"/>
    <mergeCell ref="AE32:AF32"/>
    <mergeCell ref="S32:T32"/>
    <mergeCell ref="U32:V32"/>
    <mergeCell ref="W32:X32"/>
    <mergeCell ref="Y32:Z32"/>
    <mergeCell ref="AA32:AB32"/>
    <mergeCell ref="W30:X30"/>
    <mergeCell ref="S30:T30"/>
    <mergeCell ref="AC31:AD31"/>
    <mergeCell ref="AA30:AB30"/>
    <mergeCell ref="AE31:AF31"/>
    <mergeCell ref="AE30:AF30"/>
    <mergeCell ref="Y31:Z31"/>
    <mergeCell ref="AA31:AB31"/>
    <mergeCell ref="S31:T31"/>
    <mergeCell ref="W31:X31"/>
    <mergeCell ref="AE29:AF29"/>
    <mergeCell ref="O27:P27"/>
    <mergeCell ref="W28:X28"/>
    <mergeCell ref="U28:V28"/>
    <mergeCell ref="AC28:AD28"/>
  </mergeCells>
  <phoneticPr fontId="38" type="noConversion"/>
  <conditionalFormatting sqref="F1:F2 F16:F22">
    <cfRule type="expression" dxfId="111" priority="2721" stopIfTrue="1">
      <formula>IF(OR(ACOMPANHAMENTO="BM",F$12&gt;CÁLCULO.NúmeroDeFrentes),TRUE,PLE.ValorDoEvento=0)</formula>
    </cfRule>
    <cfRule type="cellIs" dxfId="110" priority="2722" stopIfTrue="1" operator="equal">
      <formula>$J$9</formula>
    </cfRule>
  </conditionalFormatting>
  <conditionalFormatting sqref="I28:AF28">
    <cfRule type="expression" dxfId="109" priority="2723" stopIfTrue="1">
      <formula>I27=$J$9</formula>
    </cfRule>
  </conditionalFormatting>
  <conditionalFormatting sqref="I29:AF29">
    <cfRule type="expression" dxfId="108" priority="2724" stopIfTrue="1">
      <formula>I27=$J$9</formula>
    </cfRule>
  </conditionalFormatting>
  <conditionalFormatting sqref="I30:AF30">
    <cfRule type="expression" dxfId="107" priority="2725" stopIfTrue="1">
      <formula>I27=$J$9</formula>
    </cfRule>
  </conditionalFormatting>
  <conditionalFormatting sqref="I31:AF31">
    <cfRule type="expression" dxfId="106" priority="2726" stopIfTrue="1">
      <formula>I27=$J$9</formula>
    </cfRule>
  </conditionalFormatting>
  <conditionalFormatting sqref="I27:J27">
    <cfRule type="cellIs" dxfId="105" priority="2720" stopIfTrue="1" operator="notEqual">
      <formula>1</formula>
    </cfRule>
  </conditionalFormatting>
  <conditionalFormatting sqref="H1:AF1 H16:AF22">
    <cfRule type="expression" dxfId="104" priority="2738" stopIfTrue="1">
      <formula>IF(OR(ACOMPANHAMENTO="BM",TIPOORCAMENTO="Proposto",H$12&gt;CÁLCULO.NúmeroDeFrentes),TRUE,PLE.ValorDoEvento=0)</formula>
    </cfRule>
    <cfRule type="cellIs" dxfId="103" priority="2739" stopIfTrue="1" operator="equal">
      <formula>$J$9</formula>
    </cfRule>
  </conditionalFormatting>
  <conditionalFormatting sqref="AE6:AE7">
    <cfRule type="expression" dxfId="102" priority="2727" stopIfTrue="1">
      <formula>TIPOORCAMENTO&lt;&gt;"Licitado"</formula>
    </cfRule>
  </conditionalFormatting>
  <conditionalFormatting sqref="N9:T9">
    <cfRule type="expression" dxfId="101" priority="2728" stopIfTrue="1">
      <formula>COLUMN(N9)&gt;COLUMN($AF$12)</formula>
    </cfRule>
    <cfRule type="expression" dxfId="100" priority="2729" stopIfTrue="1">
      <formula>$N$9="DIGITE A DATA DA MEDIÇÃO"</formula>
    </cfRule>
  </conditionalFormatting>
  <conditionalFormatting sqref="I9:M9 U9:AF9">
    <cfRule type="expression" dxfId="99" priority="2730" stopIfTrue="1">
      <formula>COLUMN(I9)&gt;COLUMN($AF$12)</formula>
    </cfRule>
  </conditionalFormatting>
  <conditionalFormatting sqref="K28:AF31">
    <cfRule type="expression" dxfId="98" priority="1736" stopIfTrue="1">
      <formula>I$30=100%</formula>
    </cfRule>
  </conditionalFormatting>
  <conditionalFormatting sqref="J33 L33 N33 P33 R33 T33 V33 X33 Z33 AB33 AD33 AF33">
    <cfRule type="expression" dxfId="97" priority="14447" stopIfTrue="1">
      <formula>J28=$J$9</formula>
    </cfRule>
  </conditionalFormatting>
  <conditionalFormatting sqref="K32:AF32">
    <cfRule type="expression" dxfId="96" priority="1735">
      <formula>OFFSET(K32,-2,-2)=1</formula>
    </cfRule>
  </conditionalFormatting>
  <conditionalFormatting sqref="I32:AF32">
    <cfRule type="expression" dxfId="95" priority="1734">
      <formula>ROUND(I32,4)&gt;ROUND(I30,4)</formula>
    </cfRule>
  </conditionalFormatting>
  <conditionalFormatting sqref="N13">
    <cfRule type="expression" dxfId="94" priority="1733">
      <formula>$Y$9=0</formula>
    </cfRule>
  </conditionalFormatting>
  <dataValidations count="3">
    <dataValidation type="whole" operator="greaterThan" allowBlank="1" showErrorMessage="1" sqref="I3:AC4 J9:K9 F1:F4 F16:F22"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2"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7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 xml:space="preserve"> - OGU</v>
      </c>
      <c r="O2" s="11" t="s">
        <v>647</v>
      </c>
    </row>
    <row r="3" spans="1:41" x14ac:dyDescent="0.2">
      <c r="A3" s="808" t="b">
        <v>0</v>
      </c>
      <c r="B3" s="808"/>
      <c r="E3" s="86"/>
    </row>
    <row r="4" spans="1:41" x14ac:dyDescent="0.2">
      <c r="D4" s="679" t="s">
        <v>652</v>
      </c>
      <c r="E4" s="679"/>
      <c r="F4" s="733" t="s">
        <v>650</v>
      </c>
      <c r="G4" s="733"/>
      <c r="H4" s="733"/>
      <c r="I4" s="145" t="s">
        <v>707</v>
      </c>
      <c r="J4" s="679" t="s">
        <v>708</v>
      </c>
      <c r="K4" s="679"/>
      <c r="L4" s="679"/>
      <c r="M4" s="679"/>
      <c r="N4" s="679"/>
      <c r="O4" s="147" t="s">
        <v>843</v>
      </c>
    </row>
    <row r="5" spans="1:41" ht="12.75" customHeight="1" x14ac:dyDescent="0.2">
      <c r="A5" t="s">
        <v>844</v>
      </c>
      <c r="D5" s="682" t="str">
        <f>Import.Proponente</f>
        <v>PREFEITURA MUNICIPAL DE PILAR DO SUL</v>
      </c>
      <c r="E5" s="682"/>
      <c r="F5" s="731" t="str">
        <f>Import.CR</f>
        <v>1101329-56</v>
      </c>
      <c r="G5" s="731"/>
      <c r="H5" s="731"/>
      <c r="I5" s="322" t="str">
        <f>Import.TransfereGOV</f>
        <v>11213/2025</v>
      </c>
      <c r="J5" s="682" t="str">
        <f>Import.Apelido</f>
        <v>INFRAESTRUTURA URBANA COM RECUPERAÇÃO, DRENAGEM E RECAPEAMENTO ASFÁLTICO RUAS DO MUNICÍPIO DE PILAR DO SUL</v>
      </c>
      <c r="K5" s="682"/>
      <c r="L5" s="682"/>
      <c r="M5" s="682"/>
      <c r="N5" s="682"/>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Global</v>
      </c>
      <c r="D7" s="87" t="s">
        <v>846</v>
      </c>
      <c r="E7" s="87" t="s">
        <v>847</v>
      </c>
      <c r="F7" s="679" t="s">
        <v>848</v>
      </c>
      <c r="G7" s="679"/>
      <c r="H7" s="679"/>
      <c r="I7" s="679" t="str" cm="1">
        <f t="array" ref="I7">IF(TIPOORCAMENTO="Licitado","REGIME DE EXECUÇÃO","MUNICÍPIO / UF")</f>
        <v>MUNICÍPIO / UF</v>
      </c>
      <c r="J7" s="679"/>
      <c r="K7" s="679"/>
      <c r="L7" s="679"/>
      <c r="M7" s="679" t="s">
        <v>849</v>
      </c>
      <c r="N7" s="679"/>
      <c r="O7" s="87" t="s">
        <v>850</v>
      </c>
      <c r="AO7" s="275" cm="1">
        <f t="array" aca="1" ref="AO7" ca="1">BM.MEDAcumulado</f>
        <v>0</v>
      </c>
    </row>
    <row r="8" spans="1:41" ht="12.75" customHeight="1" x14ac:dyDescent="0.2">
      <c r="A8" s="320" t="s">
        <v>851</v>
      </c>
      <c r="B8" s="2"/>
      <c r="C8" s="686" t="s">
        <v>655</v>
      </c>
      <c r="D8" s="326">
        <f>Import.CTEF</f>
        <v>0</v>
      </c>
      <c r="E8" s="56">
        <f>Import.empresa</f>
        <v>0</v>
      </c>
      <c r="F8" s="682">
        <f>Import.CNPJ</f>
        <v>0</v>
      </c>
      <c r="G8" s="682"/>
      <c r="H8" s="682"/>
      <c r="I8" s="682" t="str" cm="1">
        <f t="array" ref="I8">IF(TIPOORCAMENTO="Licitado",Import.RegimeExecução,Import.Município)</f>
        <v>PILAR DO SUL</v>
      </c>
      <c r="J8" s="682"/>
      <c r="K8" s="682"/>
      <c r="L8" s="682"/>
      <c r="M8" s="682" t="str" cm="1">
        <f t="array" aca="1" ref="M8" ca="1">TEXT(IF(BM.medicao=1,Import.DataInicioObra,OFFSET($AB$12,0,BM.medicao-1-$AB$13)+1),"dd/mm/aaaa")&amp;" a "&amp;TEXT(OFFSET($AB$12,0,BM.medicao-$AB$13),"dd/mm/aaaa")</f>
        <v>00/01/1900 a 00/01/1900</v>
      </c>
      <c r="N8" s="682"/>
      <c r="O8" s="422">
        <v>1</v>
      </c>
    </row>
    <row r="9" spans="1:41" ht="12.75" customHeight="1" x14ac:dyDescent="0.2">
      <c r="A9" s="559" t="b">
        <v>1</v>
      </c>
      <c r="B9" s="4"/>
      <c r="C9" s="686"/>
    </row>
    <row r="10" spans="1:41" ht="13.35" customHeight="1" x14ac:dyDescent="0.2">
      <c r="A10" s="410" t="s">
        <v>852</v>
      </c>
      <c r="B10" s="411"/>
      <c r="C10" s="686"/>
      <c r="E10" s="556"/>
      <c r="F10" s="809"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IF($J$66&lt;&gt;"",UPPER($J$66),
 "")))))))</f>
        <v>Foi selecionado na aba 'MENU' o acompanhamento por PLE.</v>
      </c>
      <c r="G10" s="809"/>
      <c r="H10" s="809"/>
      <c r="I10" s="809"/>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OFFSET(CRONO!$F$13,CRONO!$F$49,0)</f>
        <v>#VALUE!</v>
      </c>
      <c r="B11" s="418"/>
      <c r="C11" s="686"/>
      <c r="E11" s="556"/>
      <c r="F11" s="809"/>
      <c r="G11" s="809"/>
      <c r="H11" s="809"/>
      <c r="I11" s="809"/>
      <c r="N11" s="557"/>
      <c r="O11" s="558" t="str">
        <f ca="1">IF(ISERROR(P11),"","Administração Local Acumulada: "&amp;TEXT(P11,"0,00%"))</f>
        <v/>
      </c>
      <c r="P11" s="561" t="e">
        <f ca="1">OFFSET($O$15,$A$11,0)/OFFSET($I$15,$A$11,0)</f>
        <v>#VALUE!</v>
      </c>
      <c r="T11" s="810" t="s">
        <v>853</v>
      </c>
      <c r="U11" s="810"/>
      <c r="Z11" s="4"/>
      <c r="AB11" s="794" t="s">
        <v>854</v>
      </c>
      <c r="AC11" s="794"/>
      <c r="AD11" s="794"/>
      <c r="AE11" s="794"/>
      <c r="AF11" s="794"/>
      <c r="AG11" s="794"/>
      <c r="AH11" s="794"/>
      <c r="AI11" s="794"/>
      <c r="AJ11" s="794"/>
      <c r="AK11" s="794"/>
      <c r="AL11" s="794"/>
      <c r="AM11" s="794"/>
    </row>
    <row r="12" spans="1:41" ht="15" customHeight="1" x14ac:dyDescent="0.25">
      <c r="C12" s="686"/>
      <c r="E12" s="84" t="s">
        <v>855</v>
      </c>
      <c r="J12" s="699" t="str" cm="1">
        <f t="array" aca="1" ref="J12" ca="1">"Evolução Física "&amp;CHOOSE(MATCH(RegimeExecucao,{"Unitário","Global"},0),"(Qtde.)","(%)")</f>
        <v>Evolução Física (%)</v>
      </c>
      <c r="K12" s="699"/>
      <c r="L12" s="699"/>
      <c r="M12" s="699" t="s">
        <v>856</v>
      </c>
      <c r="N12" s="699"/>
      <c r="O12" s="699"/>
      <c r="Q12" s="699" t="str" cm="1">
        <f t="array" aca="1" ref="Q12" ca="1">"Aferido (CAIXA) "&amp;CHOOSE(MATCH(RegimeExecucao,{"Unitário","Global"},0),"(Qtde.)","(%)")</f>
        <v>Aferido (CAIXA) (%)</v>
      </c>
      <c r="R12" s="699"/>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
      </c>
      <c r="W13" s="292" t="str" cm="1">
        <f t="array" aca="1" ref="W13" ca="1">CHOOSE(MATCH(RegimeExecucao,{"Unitário","Global"},0),"Quant. Glosada (unid)","Percentual Glosado (%)")</f>
        <v>Percentual Glosado (%)</v>
      </c>
      <c r="X13" s="292" t="str" cm="1">
        <f t="array" aca="1" ref="X13"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
      </c>
      <c r="G14" s="122" t="str" cm="1">
        <f t="array" aca="1" ref="G14" ca="1">IF(RegimeExecucao="Global","",ORÇAMENTO!T14)</f>
        <v/>
      </c>
      <c r="H14" s="122" t="str" cm="1">
        <f t="array" aca="1" ref="H14" ca="1">IF(RegimeExecucao="Global","",ORÇAMENTO!W14)</f>
        <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6" t="str">
        <f>"Objeto do CTEF: "&amp;Import.DescLote</f>
        <v>Objeto do CTEF: QUALIFICAÇÃO VIÁRIA COM EXECUÇÃO DE RECAPEAMENTO ASFÁLTICO EM RUAS DO MUNICÍPIO DE PILAR DO SUL</v>
      </c>
      <c r="E15" s="816"/>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IF(OR(ACOMPANHAMENTO="PLE",TIPOORCAMENTO="Proposto"),0,SUMIF(OFFSET($A15,1,0):$A$56,"S",OFFSET(M15,1,0):M$56))</f>
        <v>0</v>
      </c>
      <c r="N15" s="341">
        <f ca="1">O15-M15</f>
        <v>0</v>
      </c>
      <c r="O15" s="341" cm="1">
        <f t="array" aca="1" ref="O15" ca="1">IF(OR(ACOMPANHAMENTO="PLE",TIPOORCAMENTO="Proposto"),0,SUMIF(OFFSET($A15,1,0):$A$56,"S",OFFSET(O15,1,0):O$56))</f>
        <v>0</v>
      </c>
      <c r="Q15" s="342"/>
      <c r="R15" s="342"/>
      <c r="T15" s="343"/>
      <c r="U15" s="344"/>
      <c r="V15" s="344"/>
      <c r="W15" s="344"/>
      <c r="X15" s="344"/>
      <c r="Y15" s="344"/>
      <c r="Z15" s="345"/>
      <c r="AB15" s="812" t="str" cm="1">
        <f t="array" aca="1" ref="AB15" ca="1">"Preencher abaixo com a "&amp;CHOOSE(MATCH(RegimeExecucao,{"Unitário","Global"},0),"QUANTIDADE","PORCENTAGEM")&amp;" executada no PERÍODO"</f>
        <v>Preencher abaixo com a PORCENTAGEM executada no PERÍODO</v>
      </c>
      <c r="AC15" s="812"/>
      <c r="AD15" s="812"/>
      <c r="AE15" s="812"/>
      <c r="AF15" s="812"/>
      <c r="AG15" s="812"/>
      <c r="AH15" s="812"/>
      <c r="AI15" s="812"/>
      <c r="AJ15" s="812"/>
      <c r="AK15" s="812"/>
      <c r="AL15" s="812"/>
      <c r="AM15" s="812"/>
    </row>
    <row r="16" spans="1:41" ht="25.5" x14ac:dyDescent="0.2">
      <c r="A16">
        <f ca="1">ORÇAMENTO!C16</f>
        <v>1</v>
      </c>
      <c r="B16">
        <f ca="1">ORÇAMENTO!D16</f>
        <v>40</v>
      </c>
      <c r="C16" s="114" t="str">
        <f t="shared" ref="C16:C55" ca="1" si="1">IF(OR($I16&gt;0,$A16=1,$A16=2,$A16=3,$A16=4),"F","")</f>
        <v>F</v>
      </c>
      <c r="D16" s="117" t="str">
        <f ca="1">ORÇAMENTO!O16</f>
        <v>1.</v>
      </c>
      <c r="E16" s="163" t="str">
        <f t="shared" ref="E16:E55" si="2">ORÇAMENTO.Descricao</f>
        <v>QUALIFICAÇÃO VIÁRIA COM EXECUÇÃO DE RECAPEAMENTO ASFÁLTICO EM RUAS DO MUNICÍPIO DE PILAR DO SUL-SP</v>
      </c>
      <c r="F16" s="164" t="str" cm="1">
        <f t="array" aca="1" ref="F16" ca="1">IF(RegimeExecucao="Global","",ORÇAMENTO.Unidade)</f>
        <v/>
      </c>
      <c r="G16" s="122" t="str" cm="1">
        <f t="array" aca="1" ref="G16" ca="1">IF(RegimeExecucao="Global","",ORÇAMENTO!T16)</f>
        <v/>
      </c>
      <c r="H16" s="122" t="str" cm="1">
        <f t="array" aca="1" ref="H16" ca="1">IF(RegimeExecucao="Global","",ORÇAMENTO!W16)</f>
        <v/>
      </c>
      <c r="I16" s="125">
        <f ca="1">ORÇAMENTO!X16</f>
        <v>1081686.6200000001</v>
      </c>
      <c r="J16" s="333" cm="1">
        <f t="array" aca="1" ref="J16" ca="1">IF($A16="S",IF(CAIXA.Modo,BM.AFAnterior,BM.MEDAnterior),IF(AND(RegimeExecucao="Global",$I16&gt;0,COUNTIF($AB$13:$AM$13,BM.medicao-1)&gt;0),M16/$I16*100,0))</f>
        <v>0</v>
      </c>
      <c r="K16" s="122">
        <f t="shared" ref="K16:K55"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55" ca="1" si="4">O16-M16</f>
        <v>0</v>
      </c>
      <c r="O16" s="125" cm="1">
        <f t="array" aca="1" ref="O16" ca="1">IF($A16="S",VTOTALBM,IF($A16=0,0,ROUND(SomaAgrupBM,15-13*ORÇAMENTO!$AF$11)))</f>
        <v>0</v>
      </c>
      <c r="Q16" s="337"/>
      <c r="R16" s="338"/>
      <c r="T16" s="117" t="str">
        <f t="shared" ref="T16:T55" ca="1" si="5">IF($W16&gt;0,$D16,"")</f>
        <v/>
      </c>
      <c r="U16" s="163" t="str">
        <f t="shared" ref="U16:U55"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55"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SERVIÇOS PRELIMINARES ETAPA 1</v>
      </c>
      <c r="F17" s="164" t="str" cm="1">
        <f t="array" aca="1" ref="F17" ca="1">IF(RegimeExecucao="Global","",ORÇAMENTO.Unidade)</f>
        <v/>
      </c>
      <c r="G17" s="122" t="str" cm="1">
        <f t="array" aca="1" ref="G17" ca="1">IF(RegimeExecucao="Global","",ORÇAMENTO!T17)</f>
        <v/>
      </c>
      <c r="H17" s="122" t="str" cm="1">
        <f t="array" aca="1" ref="H17" ca="1">IF(RegimeExecucao="Global","",ORÇAMENTO!W17)</f>
        <v/>
      </c>
      <c r="I17" s="125">
        <f ca="1">ORÇAMENTO!X17</f>
        <v>11352.66</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1.1.1.</v>
      </c>
      <c r="E18" s="163" t="str">
        <f t="shared" ca="1" si="2"/>
        <v>FORNECIMENTO E INSTALAÇÃO DE PLACA DE OBRA COM CHAPA GALVANIZADA E ESTRUTURA DE MADEIRA. AF_03/2022_PS</v>
      </c>
      <c r="F18" s="164" t="str" cm="1">
        <f t="array" aca="1" ref="F18" ca="1">IF(RegimeExecucao="Global","",ORÇAMENTO.Unidade)</f>
        <v/>
      </c>
      <c r="G18" s="122" t="str" cm="1">
        <f t="array" aca="1" ref="G18" ca="1">IF(RegimeExecucao="Global","",ORÇAMENTO!T18)</f>
        <v/>
      </c>
      <c r="H18" s="122" t="str" cm="1">
        <f t="array" aca="1" ref="H18" ca="1">IF(RegimeExecucao="Global","",ORÇAMENTO!W18)</f>
        <v/>
      </c>
      <c r="I18" s="125">
        <f ca="1">ORÇAMENTO!X18</f>
        <v>1688.08</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4" t="str">
        <f ca="1">IF(OR($I19&gt;0,$A19=1,$A19=2,$A19=3,$A19=4),"F","")</f>
        <v>F</v>
      </c>
      <c r="D19" s="117" t="str">
        <f ca="1">ORÇAMENTO!O19</f>
        <v>1.1.2.</v>
      </c>
      <c r="E19" s="163" t="str">
        <f>ORÇAMENTO.Descricao</f>
        <v>PROJETO EXECUTIVO</v>
      </c>
      <c r="F19" s="164" t="str" cm="1">
        <f t="array" aca="1" ref="F19" ca="1">IF(RegimeExecucao="Global","",ORÇAMENTO.Unidade)</f>
        <v/>
      </c>
      <c r="G19" s="122" t="str" cm="1">
        <f t="array" aca="1" ref="G19" ca="1">IF(RegimeExecucao="Global","",ORÇAMENTO!T19)</f>
        <v/>
      </c>
      <c r="H19" s="122" t="str" cm="1">
        <f t="array" aca="1" ref="H19" ca="1">IF(RegimeExecucao="Global","",ORÇAMENTO!W19)</f>
        <v/>
      </c>
      <c r="I19" s="125">
        <f ca="1">ORÇAMENTO!X19</f>
        <v>8111.28</v>
      </c>
      <c r="J19" s="333" cm="1">
        <f t="array" aca="1" ref="J19" ca="1">IF($A19="S",IF(CAIXA.Modo,BM.AFAnterior,BM.MEDAnterior),IF(AND(RegimeExecucao="Global",$I19&gt;0,COUNTIF($AB$13:$AM$13,BM.medicao-1)&gt;0),M19/$I19*100,0))</f>
        <v>0</v>
      </c>
      <c r="K19" s="122">
        <f ca="1">L19-J19</f>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ca="1">O19-M19</f>
        <v>0</v>
      </c>
      <c r="O19" s="125" cm="1">
        <f t="array" aca="1" ref="O19" ca="1">IF($A19="S",VTOTALBM,IF($A19=0,0,ROUND(SomaAgrupBM,15-13*ORÇAMENTO!$AF$11)))</f>
        <v>0</v>
      </c>
      <c r="Q19" s="337"/>
      <c r="R19" s="338"/>
      <c r="T19" s="117" t="str">
        <f ca="1">IF($W19&gt;0,$D19,"")</f>
        <v/>
      </c>
      <c r="U19" s="163" t="str">
        <f ca="1">IF($W19&gt;0,$E19,"")</f>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ca="1">AO19-O19</f>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F</v>
      </c>
      <c r="D20" s="117" t="str">
        <f ca="1">ORÇAMENTO!O20</f>
        <v>1.1.3.</v>
      </c>
      <c r="E20" s="163" t="str">
        <f t="shared" si="2"/>
        <v>BANHEIRO QUÍMICO MODELO STANDART, COM MANUTENÇÃO CONFORME EXIGÊNCIAS DA CETESB</v>
      </c>
      <c r="F20" s="164" t="str" cm="1">
        <f t="array" aca="1" ref="F20" ca="1">IF(RegimeExecucao="Global","",ORÇAMENTO.Unidade)</f>
        <v/>
      </c>
      <c r="G20" s="122" t="str" cm="1">
        <f t="array" aca="1" ref="G20" ca="1">IF(RegimeExecucao="Global","",ORÇAMENTO!T20)</f>
        <v/>
      </c>
      <c r="H20" s="122" t="str" cm="1">
        <f t="array" aca="1" ref="H20" ca="1">IF(RegimeExecucao="Global","",ORÇAMENTO!W20)</f>
        <v/>
      </c>
      <c r="I20" s="125">
        <f ca="1">ORÇAMENTO!X20</f>
        <v>1553.3</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2</v>
      </c>
      <c r="C21" s="114" t="str">
        <f ca="1">IF(OR($I21&gt;0,$A21=1,$A21=2,$A21=3,$A21=4),"F","")</f>
        <v>F</v>
      </c>
      <c r="D21" s="117" t="str">
        <f ca="1">ORÇAMENTO!O21</f>
        <v>1.2.</v>
      </c>
      <c r="E21" s="163" t="str">
        <f>ORÇAMENTO.Descricao</f>
        <v>SERVIÇOS PRELIMINARES ETAPA 2</v>
      </c>
      <c r="F21" s="164" t="str" cm="1">
        <f t="array" aca="1" ref="F21" ca="1">IF(RegimeExecucao="Global","",ORÇAMENTO.Unidade)</f>
        <v/>
      </c>
      <c r="G21" s="122" t="str" cm="1">
        <f t="array" aca="1" ref="G21" ca="1">IF(RegimeExecucao="Global","",ORÇAMENTO!T21)</f>
        <v/>
      </c>
      <c r="H21" s="122" t="str" cm="1">
        <f t="array" aca="1" ref="H21" ca="1">IF(RegimeExecucao="Global","",ORÇAMENTO!W21)</f>
        <v/>
      </c>
      <c r="I21" s="125">
        <f ca="1">ORÇAMENTO!X21</f>
        <v>1553.3</v>
      </c>
      <c r="J21" s="333" cm="1">
        <f t="array" aca="1" ref="J21" ca="1">IF($A21="S",IF(CAIXA.Modo,BM.AFAnterior,BM.MEDAnterior),IF(AND(RegimeExecucao="Global",$I21&gt;0,COUNTIF($AB$13:$AM$13,BM.medicao-1)&gt;0),M21/$I21*100,0))</f>
        <v>0</v>
      </c>
      <c r="K21" s="122">
        <f ca="1">L21-J21</f>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ca="1">O21-M21</f>
        <v>0</v>
      </c>
      <c r="O21" s="125" cm="1">
        <f t="array" aca="1" ref="O21" ca="1">IF($A21="S",VTOTALBM,IF($A21=0,0,ROUND(SomaAgrupBM,15-13*ORÇAMENTO!$AF$11)))</f>
        <v>0</v>
      </c>
      <c r="Q21" s="337"/>
      <c r="R21" s="338"/>
      <c r="T21" s="117" t="str">
        <f ca="1">IF($W21&gt;0,$D21,"")</f>
        <v/>
      </c>
      <c r="U21" s="163" t="str">
        <f ca="1">IF($W21&gt;0,$E21,"")</f>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ca="1">AO21-O21</f>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ca="1">IF(OR($I22&gt;0,$A22=1,$A22=2,$A22=3,$A22=4),"F","")</f>
        <v>F</v>
      </c>
      <c r="D22" s="117" t="str">
        <f ca="1">ORÇAMENTO!O22</f>
        <v>1.2.1.</v>
      </c>
      <c r="E22" s="163" t="str">
        <f>ORÇAMENTO.Descricao</f>
        <v xml:space="preserve">BANHEIRO QUÍMICO MODELO STANDART, COM MANUTENÇÃO CONFORME EXIGÊNCIAS DA CETESB </v>
      </c>
      <c r="F22" s="164" t="str" cm="1">
        <f t="array" aca="1" ref="F22" ca="1">IF(RegimeExecucao="Global","",ORÇAMENTO.Unidade)</f>
        <v/>
      </c>
      <c r="G22" s="122" t="str" cm="1">
        <f t="array" aca="1" ref="G22" ca="1">IF(RegimeExecucao="Global","",ORÇAMENTO!T22)</f>
        <v/>
      </c>
      <c r="H22" s="122" t="str" cm="1">
        <f t="array" aca="1" ref="H22" ca="1">IF(RegimeExecucao="Global","",ORÇAMENTO!W22)</f>
        <v/>
      </c>
      <c r="I22" s="125">
        <f ca="1">ORÇAMENTO!X22</f>
        <v>1553.3</v>
      </c>
      <c r="J22" s="333" cm="1">
        <f t="array" aca="1" ref="J22" ca="1">IF($A22="S",IF(CAIXA.Modo,BM.AFAnterior,BM.MEDAnterior),IF(AND(RegimeExecucao="Global",$I22&gt;0,COUNTIF($AB$13:$AM$13,BM.medicao-1)&gt;0),M22/$I22*100,0))</f>
        <v>0</v>
      </c>
      <c r="K22" s="122">
        <f ca="1">L22-J22</f>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ca="1">O22-M22</f>
        <v>0</v>
      </c>
      <c r="O22" s="125" cm="1">
        <f t="array" aca="1" ref="O22" ca="1">IF($A22="S",VTOTALBM,IF($A22=0,0,ROUND(SomaAgrupBM,15-13*ORÇAMENTO!$AF$11)))</f>
        <v>0</v>
      </c>
      <c r="Q22" s="337"/>
      <c r="R22" s="338"/>
      <c r="T22" s="117" t="str">
        <f ca="1">IF($W22&gt;0,$D22,"")</f>
        <v/>
      </c>
      <c r="U22" s="163" t="str">
        <f ca="1">IF($W22&gt;0,$E22,"")</f>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ca="1">AO22-O22</f>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2</v>
      </c>
      <c r="B23">
        <f ca="1">ORÇAMENTO!D23</f>
        <v>10</v>
      </c>
      <c r="C23" s="114" t="str">
        <f t="shared" ca="1" si="1"/>
        <v>F</v>
      </c>
      <c r="D23" s="117" t="str">
        <f ca="1">ORÇAMENTO!O23</f>
        <v>1.3.</v>
      </c>
      <c r="E23" s="163" t="str">
        <f t="shared" si="2"/>
        <v>DRENAGEM</v>
      </c>
      <c r="F23" s="164" t="str" cm="1">
        <f t="array" aca="1" ref="F23" ca="1">IF(RegimeExecucao="Global","",ORÇAMENTO.Unidade)</f>
        <v/>
      </c>
      <c r="G23" s="122" t="str" cm="1">
        <f t="array" aca="1" ref="G23" ca="1">IF(RegimeExecucao="Global","",ORÇAMENTO!T23)</f>
        <v/>
      </c>
      <c r="H23" s="122" t="str" cm="1">
        <f t="array" aca="1" ref="H23" ca="1">IF(RegimeExecucao="Global","",ORÇAMENTO!W23)</f>
        <v/>
      </c>
      <c r="I23" s="125">
        <f ca="1">ORÇAMENTO!X23</f>
        <v>108695.09</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63.75" x14ac:dyDescent="0.2">
      <c r="A24" t="str">
        <f ca="1">ORÇAMENTO!C24</f>
        <v>S</v>
      </c>
      <c r="B24">
        <f ca="1">ORÇAMENTO!D24</f>
        <v>0</v>
      </c>
      <c r="C24" s="114" t="str">
        <f t="shared" ca="1" si="1"/>
        <v>F</v>
      </c>
      <c r="D24" s="117" t="str">
        <f ca="1">ORÇAMENTO!O24</f>
        <v>1.3.1.</v>
      </c>
      <c r="E24" s="163" t="str">
        <f t="shared" ca="1" si="2"/>
        <v>ESCAVAÇÃO VERTICAL PARA INFRAESTRUTURA, COM CARGA, DESCARGA E TRANSPORTE DE SOLO DE 1ª CATEGORIA, COM ESCAVADEIRA HIDRÁULICA (CAÇAMBA: 1,2 M³ / 155 HP), FROTA DE 3 CAMINHÕES BASCULANTES DE 14 M³, DMT ATÉ 1 KM E VELOCIDADE MÉDIA14 KM/H. AF_05/2020</v>
      </c>
      <c r="F24" s="164" t="str" cm="1">
        <f t="array" aca="1" ref="F24" ca="1">IF(RegimeExecucao="Global","",ORÇAMENTO.Unidade)</f>
        <v/>
      </c>
      <c r="G24" s="122" t="str" cm="1">
        <f t="array" aca="1" ref="G24" ca="1">IF(RegimeExecucao="Global","",ORÇAMENTO!T24)</f>
        <v/>
      </c>
      <c r="H24" s="122" t="str" cm="1">
        <f t="array" aca="1" ref="H24" ca="1">IF(RegimeExecucao="Global","",ORÇAMENTO!W24)</f>
        <v/>
      </c>
      <c r="I24" s="125">
        <f ca="1">ORÇAMENTO!X24</f>
        <v>2661.87</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4" t="str">
        <f t="shared" ca="1" si="1"/>
        <v>F</v>
      </c>
      <c r="D25" s="117" t="str">
        <f ca="1">ORÇAMENTO!O25</f>
        <v>1.3.2.</v>
      </c>
      <c r="E25" s="163" t="str">
        <f t="shared" ca="1" si="2"/>
        <v>CAIXA PARA BOCA DE LOBO DUPLA RETANGULAR, EM ALVENARIA COM BLOCOS DE CONCRETO, DIMENSÕES INTERNAS: 0,6X2,2X1,2 M. AF_12/2020</v>
      </c>
      <c r="F25" s="164" t="str" cm="1">
        <f t="array" aca="1" ref="F25" ca="1">IF(RegimeExecucao="Global","",ORÇAMENTO.Unidade)</f>
        <v/>
      </c>
      <c r="G25" s="122" t="str" cm="1">
        <f t="array" aca="1" ref="G25" ca="1">IF(RegimeExecucao="Global","",ORÇAMENTO!T25)</f>
        <v/>
      </c>
      <c r="H25" s="122" t="str" cm="1">
        <f t="array" aca="1" ref="H25" ca="1">IF(RegimeExecucao="Global","",ORÇAMENTO!W25)</f>
        <v/>
      </c>
      <c r="I25" s="125">
        <f ca="1">ORÇAMENTO!X25</f>
        <v>21105.96</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4" t="str">
        <f t="shared" ca="1" si="1"/>
        <v>F</v>
      </c>
      <c r="D26" s="117" t="str">
        <f ca="1">ORÇAMENTO!O26</f>
        <v>1.3.3.</v>
      </c>
      <c r="E26" s="163" t="str">
        <f t="shared" ca="1" si="2"/>
        <v>BASE PARA POÇO DE VISITA RETANGULAR PARA DRENAGEM, EM ALVENARIA COM BLOCOS DE CONCRETO, DIMENSÕES INTERNAS = 1X1,5 M, PROFUNDIDADE = 1,40 M, EXCLUINDO TAMPÃO. AF_12/2020</v>
      </c>
      <c r="F26" s="164" t="str" cm="1">
        <f t="array" aca="1" ref="F26" ca="1">IF(RegimeExecucao="Global","",ORÇAMENTO.Unidade)</f>
        <v/>
      </c>
      <c r="G26" s="122" t="str" cm="1">
        <f t="array" aca="1" ref="G26" ca="1">IF(RegimeExecucao="Global","",ORÇAMENTO!T26)</f>
        <v/>
      </c>
      <c r="H26" s="122" t="str" cm="1">
        <f t="array" aca="1" ref="H26" ca="1">IF(RegimeExecucao="Global","",ORÇAMENTO!W26)</f>
        <v/>
      </c>
      <c r="I26" s="125">
        <f ca="1">ORÇAMENTO!X26</f>
        <v>8542.26</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4" t="str">
        <f t="shared" ca="1" si="1"/>
        <v>F</v>
      </c>
      <c r="D27" s="117" t="str">
        <f ca="1">ORÇAMENTO!O27</f>
        <v>1.3.4.</v>
      </c>
      <c r="E27" s="163" t="str">
        <f t="shared" ca="1" si="2"/>
        <v>TUBO DE CONCRETO PARA REDES COLETORAS DE ÁGUAS PLUVIAIS, DIÂMETRO DE 400 MM, JUNTA RÍGIDA, INSTALADO EM LOCAL COM ALTO NÍVEL DE INTERFERÊNCIAS - FORNECIMENTO E ASSENTAMENTO. AF_03/2024</v>
      </c>
      <c r="F27" s="164" t="str" cm="1">
        <f t="array" aca="1" ref="F27" ca="1">IF(RegimeExecucao="Global","",ORÇAMENTO.Unidade)</f>
        <v/>
      </c>
      <c r="G27" s="122" t="str" cm="1">
        <f t="array" aca="1" ref="G27" ca="1">IF(RegimeExecucao="Global","",ORÇAMENTO!T27)</f>
        <v/>
      </c>
      <c r="H27" s="122" t="str" cm="1">
        <f t="array" aca="1" ref="H27" ca="1">IF(RegimeExecucao="Global","",ORÇAMENTO!W27)</f>
        <v/>
      </c>
      <c r="I27" s="125">
        <f ca="1">ORÇAMENTO!X27</f>
        <v>28012.799999999999</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51" x14ac:dyDescent="0.2">
      <c r="A28" t="str">
        <f ca="1">ORÇAMENTO!C28</f>
        <v>S</v>
      </c>
      <c r="B28">
        <f ca="1">ORÇAMENTO!D28</f>
        <v>0</v>
      </c>
      <c r="C28" s="114" t="str">
        <f ca="1">IF(OR($I28&gt;0,$A28=1,$A28=2,$A28=3,$A28=4),"F","")</f>
        <v>F</v>
      </c>
      <c r="D28" s="117" t="str">
        <f ca="1">ORÇAMENTO!O28</f>
        <v>1.3.5.</v>
      </c>
      <c r="E28" s="163" t="str">
        <f ca="1">ORÇAMENTO.Descricao</f>
        <v>TUBO DE CONCRETO PARA REDES COLETORAS DE ÁGUAS PLUVIAIS, DIÂMETRO DE 600 MM, JUNTA RÍGIDA, INSTALADO EM LOCAL COM ALTO NÍVEL DE INTERFERÊNCIAS - FORNECIMENTO E ASSENTAMENTO. AF_03/2024</v>
      </c>
      <c r="F28" s="164" t="str" cm="1">
        <f t="array" aca="1" ref="F28" ca="1">IF(RegimeExecucao="Global","",ORÇAMENTO.Unidade)</f>
        <v/>
      </c>
      <c r="G28" s="122" t="str" cm="1">
        <f t="array" aca="1" ref="G28" ca="1">IF(RegimeExecucao="Global","",ORÇAMENTO!T28)</f>
        <v/>
      </c>
      <c r="H28" s="122" t="str" cm="1">
        <f t="array" aca="1" ref="H28" ca="1">IF(RegimeExecucao="Global","",ORÇAMENTO!W28)</f>
        <v/>
      </c>
      <c r="I28" s="125">
        <f ca="1">ORÇAMENTO!X28</f>
        <v>20476.38</v>
      </c>
      <c r="J28" s="333" cm="1">
        <f t="array" aca="1" ref="J28" ca="1">IF($A28="S",IF(CAIXA.Modo,BM.AFAnterior,BM.MEDAnterior),IF(AND(RegimeExecucao="Global",$I28&gt;0,COUNTIF($AB$13:$AM$13,BM.medicao-1)&gt;0),M28/$I28*100,0))</f>
        <v>0</v>
      </c>
      <c r="K28" s="122">
        <f ca="1">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ca="1">O28-M28</f>
        <v>0</v>
      </c>
      <c r="O28" s="125" cm="1">
        <f t="array" aca="1" ref="O28" ca="1">IF($A28="S",VTOTALBM,IF($A28=0,0,ROUND(SomaAgrupBM,15-13*ORÇAMENTO!$AF$11)))</f>
        <v>0</v>
      </c>
      <c r="Q28" s="337"/>
      <c r="R28" s="338"/>
      <c r="T28" s="117" t="str">
        <f ca="1">IF($W28&gt;0,$D28,"")</f>
        <v/>
      </c>
      <c r="U28" s="163" t="str">
        <f ca="1">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ca="1">AO28-O28</f>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ref="C29:C32" ca="1" si="8">IF(OR($I29&gt;0,$A29=1,$A29=2,$A29=3,$A29=4),"F","")</f>
        <v>F</v>
      </c>
      <c r="D29" s="117" t="str">
        <f ca="1">ORÇAMENTO!O29</f>
        <v>1.3.6.</v>
      </c>
      <c r="E29" s="163" t="str">
        <f ca="1">ORÇAMENTO.Descricao</f>
        <v>REATERRO MANUAL DE VALAS, COM COMPACTADOR DE SOLOS DE PERCUSSÃO. AF_08/2023</v>
      </c>
      <c r="F29" s="164" t="str" cm="1">
        <f t="array" aca="1" ref="F29" ca="1">IF(RegimeExecucao="Global","",ORÇAMENTO.Unidade)</f>
        <v/>
      </c>
      <c r="G29" s="122" t="str" cm="1">
        <f t="array" aca="1" ref="G29" ca="1">IF(RegimeExecucao="Global","",ORÇAMENTO!T29)</f>
        <v/>
      </c>
      <c r="H29" s="122" t="str" cm="1">
        <f t="array" aca="1" ref="H29" ca="1">IF(RegimeExecucao="Global","",ORÇAMENTO!W29)</f>
        <v/>
      </c>
      <c r="I29" s="125">
        <f ca="1">ORÇAMENTO!X29</f>
        <v>7034.3</v>
      </c>
      <c r="J29" s="333" cm="1">
        <f t="array" aca="1" ref="J29" ca="1">IF($A29="S",IF(CAIXA.Modo,BM.AFAnterior,BM.MEDAnterior),IF(AND(RegimeExecucao="Global",$I29&gt;0,COUNTIF($AB$13:$AM$13,BM.medicao-1)&gt;0),M29/$I29*100,0))</f>
        <v>0</v>
      </c>
      <c r="K29" s="122">
        <f t="shared" ref="K29:K32" ca="1" si="9">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ref="N29:N32" ca="1" si="10">O29-M29</f>
        <v>0</v>
      </c>
      <c r="O29" s="125" cm="1">
        <f t="array" aca="1" ref="O29" ca="1">IF($A29="S",VTOTALBM,IF($A29=0,0,ROUND(SomaAgrupBM,15-13*ORÇAMENTO!$AF$11)))</f>
        <v>0</v>
      </c>
      <c r="Q29" s="337"/>
      <c r="R29" s="338"/>
      <c r="T29" s="117" t="str">
        <f t="shared" ref="T29:T32" ca="1" si="11">IF($W29&gt;0,$D29,"")</f>
        <v/>
      </c>
      <c r="U29" s="163" t="str">
        <f t="shared" ref="U29:U32" ca="1" si="12">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ref="Y29:Y32" ca="1" si="13">AO29-O29</f>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5.5" x14ac:dyDescent="0.2">
      <c r="A30" t="str">
        <f ca="1">ORÇAMENTO!C30</f>
        <v>S</v>
      </c>
      <c r="B30">
        <f ca="1">ORÇAMENTO!D30</f>
        <v>0</v>
      </c>
      <c r="C30" s="114" t="str">
        <f t="shared" ca="1" si="8"/>
        <v>F</v>
      </c>
      <c r="D30" s="117" t="str">
        <f ca="1">ORÇAMENTO!O30</f>
        <v>1.3.7.</v>
      </c>
      <c r="E30" s="163" t="str">
        <f ca="1">ORÇAMENTO.Descricao</f>
        <v>LASTRO COM MATERIAL GRANULAR, APLICADO EM PISOS OU LAJES SOBRE SOLO, ESPESSURA DE *5 CM*. AF_01/2024</v>
      </c>
      <c r="F30" s="164" t="str" cm="1">
        <f t="array" aca="1" ref="F30" ca="1">IF(RegimeExecucao="Global","",ORÇAMENTO.Unidade)</f>
        <v/>
      </c>
      <c r="G30" s="122" t="str" cm="1">
        <f t="array" aca="1" ref="G30" ca="1">IF(RegimeExecucao="Global","",ORÇAMENTO!T30)</f>
        <v/>
      </c>
      <c r="H30" s="122" t="str" cm="1">
        <f t="array" aca="1" ref="H30" ca="1">IF(RegimeExecucao="Global","",ORÇAMENTO!W30)</f>
        <v/>
      </c>
      <c r="I30" s="125">
        <f ca="1">ORÇAMENTO!X30</f>
        <v>1916.96</v>
      </c>
      <c r="J30" s="333" cm="1">
        <f t="array" aca="1" ref="J30" ca="1">IF($A30="S",IF(CAIXA.Modo,BM.AFAnterior,BM.MEDAnterior),IF(AND(RegimeExecucao="Global",$I30&gt;0,COUNTIF($AB$13:$AM$13,BM.medicao-1)&gt;0),M30/$I30*100,0))</f>
        <v>0</v>
      </c>
      <c r="K30" s="122">
        <f t="shared" ca="1" si="9"/>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10"/>
        <v>0</v>
      </c>
      <c r="O30" s="125" cm="1">
        <f t="array" aca="1" ref="O30" ca="1">IF($A30="S",VTOTALBM,IF($A30=0,0,ROUND(SomaAgrupBM,15-13*ORÇAMENTO!$AF$11)))</f>
        <v>0</v>
      </c>
      <c r="Q30" s="337"/>
      <c r="R30" s="338"/>
      <c r="T30" s="117" t="str">
        <f t="shared" ca="1" si="11"/>
        <v/>
      </c>
      <c r="U30" s="163" t="str">
        <f t="shared" ca="1" si="12"/>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13"/>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4" t="str">
        <f t="shared" ca="1" si="8"/>
        <v>F</v>
      </c>
      <c r="D31" s="117" t="str">
        <f ca="1">ORÇAMENTO!O31</f>
        <v>1.3.8.</v>
      </c>
      <c r="E31" s="163" t="str">
        <f ca="1">ORÇAMENTO.Descricao</f>
        <v>EXECUÇÃO DE SARJETÃO DE CONCRETO USINADO, MOLDADA IN LOCO EM TRECHO RETO, 100 CM BASE X 20 CM ALTURA. AF_01/2024</v>
      </c>
      <c r="F31" s="164" t="str" cm="1">
        <f t="array" aca="1" ref="F31" ca="1">IF(RegimeExecucao="Global","",ORÇAMENTO.Unidade)</f>
        <v/>
      </c>
      <c r="G31" s="122" t="str" cm="1">
        <f t="array" aca="1" ref="G31" ca="1">IF(RegimeExecucao="Global","",ORÇAMENTO!T31)</f>
        <v/>
      </c>
      <c r="H31" s="122" t="str" cm="1">
        <f t="array" aca="1" ref="H31" ca="1">IF(RegimeExecucao="Global","",ORÇAMENTO!W31)</f>
        <v/>
      </c>
      <c r="I31" s="125">
        <f ca="1">ORÇAMENTO!X31</f>
        <v>16755.060000000001</v>
      </c>
      <c r="J31" s="333" cm="1">
        <f t="array" aca="1" ref="J31" ca="1">IF($A31="S",IF(CAIXA.Modo,BM.AFAnterior,BM.MEDAnterior),IF(AND(RegimeExecucao="Global",$I31&gt;0,COUNTIF($AB$13:$AM$13,BM.medicao-1)&gt;0),M31/$I31*100,0))</f>
        <v>0</v>
      </c>
      <c r="K31" s="122">
        <f t="shared" ca="1" si="9"/>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10"/>
        <v>0</v>
      </c>
      <c r="O31" s="125" cm="1">
        <f t="array" aca="1" ref="O31" ca="1">IF($A31="S",VTOTALBM,IF($A31=0,0,ROUND(SomaAgrupBM,15-13*ORÇAMENTO!$AF$11)))</f>
        <v>0</v>
      </c>
      <c r="Q31" s="337"/>
      <c r="R31" s="338"/>
      <c r="T31" s="117" t="str">
        <f t="shared" ca="1" si="11"/>
        <v/>
      </c>
      <c r="U31" s="163" t="str">
        <f t="shared" ca="1" si="12"/>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13"/>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8"/>
        <v>F</v>
      </c>
      <c r="D32" s="117" t="str">
        <f ca="1">ORÇAMENTO!O32</f>
        <v>1.3.9.</v>
      </c>
      <c r="E32" s="163" t="str">
        <f ca="1">ORÇAMENTO.Descricao</f>
        <v>ARMAÇÃO PARA EXECUÇÃO DE RADIER, PISO DE CONCRETO OU LAJE SOBRE SOLO, COM USO DE TELA Q-92. AF_09/2021</v>
      </c>
      <c r="F32" s="164" t="str" cm="1">
        <f t="array" aca="1" ref="F32" ca="1">IF(RegimeExecucao="Global","",ORÇAMENTO.Unidade)</f>
        <v/>
      </c>
      <c r="G32" s="122" t="str" cm="1">
        <f t="array" aca="1" ref="G32" ca="1">IF(RegimeExecucao="Global","",ORÇAMENTO!T32)</f>
        <v/>
      </c>
      <c r="H32" s="122" t="str" cm="1">
        <f t="array" aca="1" ref="H32" ca="1">IF(RegimeExecucao="Global","",ORÇAMENTO!W32)</f>
        <v/>
      </c>
      <c r="I32" s="125">
        <f ca="1">ORÇAMENTO!X32</f>
        <v>2189.5</v>
      </c>
      <c r="J32" s="333" cm="1">
        <f t="array" aca="1" ref="J32" ca="1">IF($A32="S",IF(CAIXA.Modo,BM.AFAnterior,BM.MEDAnterior),IF(AND(RegimeExecucao="Global",$I32&gt;0,COUNTIF($AB$13:$AM$13,BM.medicao-1)&gt;0),M32/$I32*100,0))</f>
        <v>0</v>
      </c>
      <c r="K32" s="122">
        <f t="shared" ca="1" si="9"/>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10"/>
        <v>0</v>
      </c>
      <c r="O32" s="125" cm="1">
        <f t="array" aca="1" ref="O32" ca="1">IF($A32="S",VTOTALBM,IF($A32=0,0,ROUND(SomaAgrupBM,15-13*ORÇAMENTO!$AF$11)))</f>
        <v>0</v>
      </c>
      <c r="Q32" s="337"/>
      <c r="R32" s="338"/>
      <c r="T32" s="117" t="str">
        <f t="shared" ca="1" si="11"/>
        <v/>
      </c>
      <c r="U32" s="163" t="str">
        <f t="shared" ca="1" si="12"/>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13"/>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f ca="1">ORÇAMENTO!C33</f>
        <v>2</v>
      </c>
      <c r="B33">
        <f ca="1">ORÇAMENTO!D33</f>
        <v>11</v>
      </c>
      <c r="C33" s="114" t="str">
        <f t="shared" ca="1" si="1"/>
        <v>F</v>
      </c>
      <c r="D33" s="117" t="str">
        <f ca="1">ORÇAMENTO!O33</f>
        <v>1.4.</v>
      </c>
      <c r="E33" s="163" t="str">
        <f t="shared" si="2"/>
        <v>RECAPEAMENTO/RECUPERAÇÃO/PAVIMENTAÇÃO ASFÁLTICA - TRECHO DA RUA MARCOLINO GOMES DE OLIVEIRA</v>
      </c>
      <c r="F33" s="164" t="str" cm="1">
        <f t="array" aca="1" ref="F33" ca="1">IF(RegimeExecucao="Global","",ORÇAMENTO.Unidade)</f>
        <v/>
      </c>
      <c r="G33" s="122" t="str" cm="1">
        <f t="array" aca="1" ref="G33" ca="1">IF(RegimeExecucao="Global","",ORÇAMENTO!T33)</f>
        <v/>
      </c>
      <c r="H33" s="122" t="str" cm="1">
        <f t="array" aca="1" ref="H33" ca="1">IF(RegimeExecucao="Global","",ORÇAMENTO!W33)</f>
        <v/>
      </c>
      <c r="I33" s="125">
        <f ca="1">ORÇAMENTO!X33</f>
        <v>579709.03</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F</v>
      </c>
      <c r="D34" s="117" t="str">
        <f ca="1">ORÇAMENTO!O34</f>
        <v>1.4.1.</v>
      </c>
      <c r="E34" s="163" t="str">
        <f t="shared" ca="1" si="2"/>
        <v>DEMOLIÇÃO PARCIAL DE PAVIMENTO ASFÁLTICO, DE FORMA MECANIZADA, SEM REAPROVEITAMENTO. AF_09/2023</v>
      </c>
      <c r="F34" s="164" t="str" cm="1">
        <f t="array" aca="1" ref="F34" ca="1">IF(RegimeExecucao="Global","",ORÇAMENTO.Unidade)</f>
        <v/>
      </c>
      <c r="G34" s="122" t="str" cm="1">
        <f t="array" aca="1" ref="G34" ca="1">IF(RegimeExecucao="Global","",ORÇAMENTO!T34)</f>
        <v/>
      </c>
      <c r="H34" s="122" t="str" cm="1">
        <f t="array" aca="1" ref="H34" ca="1">IF(RegimeExecucao="Global","",ORÇAMENTO!W34)</f>
        <v/>
      </c>
      <c r="I34" s="125">
        <f ca="1">ORÇAMENTO!X34</f>
        <v>58950.85</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63.75" x14ac:dyDescent="0.2">
      <c r="A35" t="str">
        <f ca="1">ORÇAMENTO!C35</f>
        <v>S</v>
      </c>
      <c r="B35">
        <f ca="1">ORÇAMENTO!D35</f>
        <v>0</v>
      </c>
      <c r="C35" s="114" t="str">
        <f t="shared" ca="1" si="1"/>
        <v>F</v>
      </c>
      <c r="D35" s="117" t="str">
        <f ca="1">ORÇAMENTO!O35</f>
        <v>1.4.2.</v>
      </c>
      <c r="E35" s="163" t="str">
        <f t="shared" ca="1" si="2"/>
        <v>ESCAVAÇÃO VERTICAL PARA INFRAESTRUTURA, COM CARGA, DESCARGA E TRANSPORTE DE SOLO DE 1ª CATEGORIA, COM ESCAVADEIRA HIDRÁULICA (CAÇAMBA: 1,2 M³ / 155 HP), FROTA DE 3 CAMINHÕES BASCULANTES DE 14 M³, DMT ATÉ 1 KM E VELOCIDADE MÉDIA14 KM/H. AF_05/2020</v>
      </c>
      <c r="F35" s="164" t="str" cm="1">
        <f t="array" aca="1" ref="F35" ca="1">IF(RegimeExecucao="Global","",ORÇAMENTO.Unidade)</f>
        <v/>
      </c>
      <c r="G35" s="122" t="str" cm="1">
        <f t="array" aca="1" ref="G35" ca="1">IF(RegimeExecucao="Global","",ORÇAMENTO!T35)</f>
        <v/>
      </c>
      <c r="H35" s="122" t="str" cm="1">
        <f t="array" aca="1" ref="H35" ca="1">IF(RegimeExecucao="Global","",ORÇAMENTO!W35)</f>
        <v/>
      </c>
      <c r="I35" s="125">
        <f ca="1">ORÇAMENTO!X35</f>
        <v>3844.14</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ca="1">IF(OR($I36&gt;0,$A36=1,$A36=2,$A36=3,$A36=4),"F","")</f>
        <v>F</v>
      </c>
      <c r="D36" s="117" t="str">
        <f ca="1">ORÇAMENTO!O36</f>
        <v>1.4.3.</v>
      </c>
      <c r="E36" s="163" t="str">
        <f ca="1">ORÇAMENTO.Descricao</f>
        <v>REGULARIZAÇÃO E COMPACTAÇÃO DE SUBLEITO DE SOLO PREDOMINANTEMENTE ARGILOSO, PARA OBRAS DE CONSTRUÇÃO DE PAVIMENTOS. AF_09/2024</v>
      </c>
      <c r="F36" s="164" t="str" cm="1">
        <f t="array" aca="1" ref="F36" ca="1">IF(RegimeExecucao="Global","",ORÇAMENTO.Unidade)</f>
        <v/>
      </c>
      <c r="G36" s="122" t="str" cm="1">
        <f t="array" aca="1" ref="G36" ca="1">IF(RegimeExecucao="Global","",ORÇAMENTO!T36)</f>
        <v/>
      </c>
      <c r="H36" s="122" t="str" cm="1">
        <f t="array" aca="1" ref="H36" ca="1">IF(RegimeExecucao="Global","",ORÇAMENTO!W36)</f>
        <v/>
      </c>
      <c r="I36" s="125">
        <f ca="1">ORÇAMENTO!X36</f>
        <v>7115.72</v>
      </c>
      <c r="J36" s="333" cm="1">
        <f t="array" aca="1" ref="J36" ca="1">IF($A36="S",IF(CAIXA.Modo,BM.AFAnterior,BM.MEDAnterior),IF(AND(RegimeExecucao="Global",$I36&gt;0,COUNTIF($AB$13:$AM$13,BM.medicao-1)&gt;0),M36/$I36*100,0))</f>
        <v>0</v>
      </c>
      <c r="K36" s="122">
        <f ca="1">L36-J36</f>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ca="1">O36-M36</f>
        <v>0</v>
      </c>
      <c r="O36" s="125" cm="1">
        <f t="array" aca="1" ref="O36" ca="1">IF($A36="S",VTOTALBM,IF($A36=0,0,ROUND(SomaAgrupBM,15-13*ORÇAMENTO!$AF$11)))</f>
        <v>0</v>
      </c>
      <c r="Q36" s="337"/>
      <c r="R36" s="338"/>
      <c r="T36" s="117" t="str">
        <f ca="1">IF($W36&gt;0,$D36,"")</f>
        <v/>
      </c>
      <c r="U36" s="163" t="str">
        <f ca="1">IF($W36&gt;0,$E36,"")</f>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ca="1">AO36-O36</f>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51" x14ac:dyDescent="0.2">
      <c r="A37" t="str">
        <f ca="1">ORÇAMENTO!C37</f>
        <v>S</v>
      </c>
      <c r="B37">
        <f ca="1">ORÇAMENTO!D37</f>
        <v>0</v>
      </c>
      <c r="C37" s="114" t="str">
        <f t="shared" ca="1" si="1"/>
        <v>F</v>
      </c>
      <c r="D37" s="117" t="str">
        <f ca="1">ORÇAMENTO!O37</f>
        <v>1.4.4.</v>
      </c>
      <c r="E37" s="163" t="str">
        <f t="shared" ca="1" si="2"/>
        <v>CONSTRUÇÃO DE BASE E SUB-BASE PARA PAVIMENTAÇÃO DE BRITA GRADUADA SIMPLES TRATADA COM CIMENTO, COM ESPESSURA DE 15 CM - EXCLUSIVE CARGA E TRANSPORTE. AF_09/2024</v>
      </c>
      <c r="F37" s="164" t="str" cm="1">
        <f t="array" aca="1" ref="F37" ca="1">IF(RegimeExecucao="Global","",ORÇAMENTO.Unidade)</f>
        <v/>
      </c>
      <c r="G37" s="122" t="str" cm="1">
        <f t="array" aca="1" ref="G37" ca="1">IF(RegimeExecucao="Global","",ORÇAMENTO!T37)</f>
        <v/>
      </c>
      <c r="H37" s="122" t="str" cm="1">
        <f t="array" aca="1" ref="H37" ca="1">IF(RegimeExecucao="Global","",ORÇAMENTO!W37)</f>
        <v/>
      </c>
      <c r="I37" s="125">
        <f ca="1">ORÇAMENTO!X37</f>
        <v>76901.13</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38.25" x14ac:dyDescent="0.2">
      <c r="A38" t="str">
        <f ca="1">ORÇAMENTO!C38</f>
        <v>S</v>
      </c>
      <c r="B38">
        <f ca="1">ORÇAMENTO!D38</f>
        <v>0</v>
      </c>
      <c r="C38" s="114" t="str">
        <f t="shared" ca="1" si="1"/>
        <v>F</v>
      </c>
      <c r="D38" s="117" t="str">
        <f ca="1">ORÇAMENTO!O38</f>
        <v>1.4.5.</v>
      </c>
      <c r="E38" s="163" t="str">
        <f t="shared" ca="1" si="2"/>
        <v>TRANSPORTE COM CAMINHÃO BASCULANTE DE 14 M³, EM VIA URBANA PAVIMENTADA, DMT ATÉ 30 KM (UNIDADE: M3XKM). AF_07/2020</v>
      </c>
      <c r="F38" s="164" t="str" cm="1">
        <f t="array" aca="1" ref="F38" ca="1">IF(RegimeExecucao="Global","",ORÇAMENTO.Unidade)</f>
        <v/>
      </c>
      <c r="G38" s="122" t="str" cm="1">
        <f t="array" aca="1" ref="G38" ca="1">IF(RegimeExecucao="Global","",ORÇAMENTO!T38)</f>
        <v/>
      </c>
      <c r="H38" s="122" t="str" cm="1">
        <f t="array" aca="1" ref="H38" ca="1">IF(RegimeExecucao="Global","",ORÇAMENTO!W38)</f>
        <v/>
      </c>
      <c r="I38" s="125">
        <f ca="1">ORÇAMENTO!X38</f>
        <v>25566.44</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t="str">
        <f ca="1">ORÇAMENTO!C39</f>
        <v>S</v>
      </c>
      <c r="B39">
        <f ca="1">ORÇAMENTO!D39</f>
        <v>0</v>
      </c>
      <c r="C39" s="114" t="str">
        <f t="shared" ca="1" si="1"/>
        <v>F</v>
      </c>
      <c r="D39" s="117" t="str">
        <f ca="1">ORÇAMENTO!O39</f>
        <v>1.4.6.</v>
      </c>
      <c r="E39" s="163" t="str">
        <f t="shared" si="2"/>
        <v>VARRIÇÃO DE PAVIMENTO PARA RECAPEAMENTO</v>
      </c>
      <c r="F39" s="164" t="str" cm="1">
        <f t="array" aca="1" ref="F39" ca="1">IF(RegimeExecucao="Global","",ORÇAMENTO.Unidade)</f>
        <v/>
      </c>
      <c r="G39" s="122" t="str" cm="1">
        <f t="array" aca="1" ref="G39" ca="1">IF(RegimeExecucao="Global","",ORÇAMENTO!T39)</f>
        <v/>
      </c>
      <c r="H39" s="122" t="str" cm="1">
        <f t="array" aca="1" ref="H39" ca="1">IF(RegimeExecucao="Global","",ORÇAMENTO!W39)</f>
        <v/>
      </c>
      <c r="I39" s="125">
        <f ca="1">ORÇAMENTO!X39</f>
        <v>3692.49</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t="str">
        <f ca="1">ORÇAMENTO!C40</f>
        <v>S</v>
      </c>
      <c r="B40">
        <f ca="1">ORÇAMENTO!D40</f>
        <v>0</v>
      </c>
      <c r="C40" s="114" t="str">
        <f t="shared" ca="1" si="1"/>
        <v>F</v>
      </c>
      <c r="D40" s="117" t="str">
        <f ca="1">ORÇAMENTO!O40</f>
        <v>1.4.7.</v>
      </c>
      <c r="E40" s="163" t="str">
        <f t="shared" si="2"/>
        <v>IMPRIMADURA BETUMINOSA IMPERMEABILIZANTE</v>
      </c>
      <c r="F40" s="164" t="str" cm="1">
        <f t="array" aca="1" ref="F40" ca="1">IF(RegimeExecucao="Global","",ORÇAMENTO.Unidade)</f>
        <v/>
      </c>
      <c r="G40" s="122" t="str" cm="1">
        <f t="array" aca="1" ref="G40" ca="1">IF(RegimeExecucao="Global","",ORÇAMENTO!T40)</f>
        <v/>
      </c>
      <c r="H40" s="122" t="str" cm="1">
        <f t="array" aca="1" ref="H40" ca="1">IF(RegimeExecucao="Global","",ORÇAMENTO!W40)</f>
        <v/>
      </c>
      <c r="I40" s="125">
        <f ca="1">ORÇAMENTO!X40</f>
        <v>10831.5</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t="str">
        <f ca="1">ORÇAMENTO!C41</f>
        <v>S</v>
      </c>
      <c r="B41">
        <f ca="1">ORÇAMENTO!D41</f>
        <v>0</v>
      </c>
      <c r="C41" s="114" t="str">
        <f t="shared" ca="1" si="1"/>
        <v>F</v>
      </c>
      <c r="D41" s="117" t="str">
        <f ca="1">ORÇAMENTO!O41</f>
        <v>1.4.8.</v>
      </c>
      <c r="E41" s="163" t="str">
        <f t="shared" si="2"/>
        <v>IMPRIMADURA BETUMINOSA LIGANTE</v>
      </c>
      <c r="F41" s="164" t="str" cm="1">
        <f t="array" aca="1" ref="F41" ca="1">IF(RegimeExecucao="Global","",ORÇAMENTO.Unidade)</f>
        <v/>
      </c>
      <c r="G41" s="122" t="str" cm="1">
        <f t="array" aca="1" ref="G41" ca="1">IF(RegimeExecucao="Global","",ORÇAMENTO!T41)</f>
        <v/>
      </c>
      <c r="H41" s="122" t="str" cm="1">
        <f t="array" aca="1" ref="H41" ca="1">IF(RegimeExecucao="Global","",ORÇAMENTO!W41)</f>
        <v/>
      </c>
      <c r="I41" s="125">
        <f ca="1">ORÇAMENTO!X41</f>
        <v>20706.759999999998</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t="shared" ca="1" si="1"/>
        <v>F</v>
      </c>
      <c r="D42" s="117" t="str">
        <f ca="1">ORÇAMENTO!O42</f>
        <v>1.4.9.</v>
      </c>
      <c r="E42" s="163" t="str">
        <f t="shared" ca="1" si="2"/>
        <v>EXECUÇÃO DE PAVIMENTO COM APLICAÇÃO DE CONCRETO ASFÁLTICO, CAMADA DE ROLAMENTO - EXCLUSIVE CARGA E TRANSPORTE. AF_10/2025</v>
      </c>
      <c r="F42" s="164" t="str" cm="1">
        <f t="array" aca="1" ref="F42" ca="1">IF(RegimeExecucao="Global","",ORÇAMENTO.Unidade)</f>
        <v/>
      </c>
      <c r="G42" s="122" t="str" cm="1">
        <f t="array" aca="1" ref="G42" ca="1">IF(RegimeExecucao="Global","",ORÇAMENTO!T42)</f>
        <v/>
      </c>
      <c r="H42" s="122" t="str" cm="1">
        <f t="array" aca="1" ref="H42" ca="1">IF(RegimeExecucao="Global","",ORÇAMENTO!W42)</f>
        <v/>
      </c>
      <c r="I42" s="125">
        <f ca="1">ORÇAMENTO!X42</f>
        <v>356109.72</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t="shared" ca="1" si="1"/>
        <v>F</v>
      </c>
      <c r="D43" s="117" t="str">
        <f ca="1">ORÇAMENTO!O43</f>
        <v>1.4.10.</v>
      </c>
      <c r="E43" s="163" t="str">
        <f t="shared" ca="1" si="2"/>
        <v>TRANSPORTE COM CAMINHÃO BASCULANTE DE 14 M³, EM VIA URBANA PAVIMENTADA, DMT ATÉ 30 KM (UNIDADE: M3XKM). AF_07/2020</v>
      </c>
      <c r="F43" s="164" t="str" cm="1">
        <f t="array" aca="1" ref="F43" ca="1">IF(RegimeExecucao="Global","",ORÇAMENTO.Unidade)</f>
        <v/>
      </c>
      <c r="G43" s="122" t="str" cm="1">
        <f t="array" aca="1" ref="G43" ca="1">IF(RegimeExecucao="Global","",ORÇAMENTO!T43)</f>
        <v/>
      </c>
      <c r="H43" s="122" t="str" cm="1">
        <f t="array" aca="1" ref="H43" ca="1">IF(RegimeExecucao="Global","",ORÇAMENTO!W43)</f>
        <v/>
      </c>
      <c r="I43" s="125">
        <f ca="1">ORÇAMENTO!X43</f>
        <v>15990.28</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f ca="1">ORÇAMENTO!C44</f>
        <v>2</v>
      </c>
      <c r="B44">
        <f ca="1">ORÇAMENTO!D44</f>
        <v>5</v>
      </c>
      <c r="C44" s="114" t="str">
        <f t="shared" ca="1" si="1"/>
        <v>F</v>
      </c>
      <c r="D44" s="117" t="str">
        <f ca="1">ORÇAMENTO!O44</f>
        <v>1.5.</v>
      </c>
      <c r="E44" s="163" t="str">
        <f t="shared" si="2"/>
        <v>RECAPEAMENTO/RECUPERAÇÃO ASFÁLTICA - TRECHO DA RUA ANTÔNIO BANEDITO DE OLIVEIRA</v>
      </c>
      <c r="F44" s="164" t="str" cm="1">
        <f t="array" aca="1" ref="F44" ca="1">IF(RegimeExecucao="Global","",ORÇAMENTO.Unidade)</f>
        <v/>
      </c>
      <c r="G44" s="122" t="str" cm="1">
        <f t="array" aca="1" ref="G44" ca="1">IF(RegimeExecucao="Global","",ORÇAMENTO!T44)</f>
        <v/>
      </c>
      <c r="H44" s="122" t="str" cm="1">
        <f t="array" aca="1" ref="H44" ca="1">IF(RegimeExecucao="Global","",ORÇAMENTO!W44)</f>
        <v/>
      </c>
      <c r="I44" s="125">
        <f ca="1">ORÇAMENTO!X44</f>
        <v>227114.05</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t="str">
        <f ca="1">ORÇAMENTO!C45</f>
        <v>S</v>
      </c>
      <c r="B45">
        <f ca="1">ORÇAMENTO!D45</f>
        <v>0</v>
      </c>
      <c r="C45" s="114" t="str">
        <f t="shared" ca="1" si="1"/>
        <v>F</v>
      </c>
      <c r="D45" s="117" t="str">
        <f ca="1">ORÇAMENTO!O45</f>
        <v>1.5.1.</v>
      </c>
      <c r="E45" s="163" t="str">
        <f t="shared" si="2"/>
        <v>VARRIÇÃO DE PAVIMENTO PARA RECAPEAMENTO</v>
      </c>
      <c r="F45" s="164" t="str" cm="1">
        <f t="array" aca="1" ref="F45" ca="1">IF(RegimeExecucao="Global","",ORÇAMENTO.Unidade)</f>
        <v/>
      </c>
      <c r="G45" s="122" t="str" cm="1">
        <f t="array" aca="1" ref="G45" ca="1">IF(RegimeExecucao="Global","",ORÇAMENTO!T45)</f>
        <v/>
      </c>
      <c r="H45" s="122" t="str" cm="1">
        <f t="array" aca="1" ref="H45" ca="1">IF(RegimeExecucao="Global","",ORÇAMENTO!W45)</f>
        <v/>
      </c>
      <c r="I45" s="125">
        <f ca="1">ORÇAMENTO!X45</f>
        <v>3185.39</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t="str">
        <f ca="1">ORÇAMENTO!C46</f>
        <v>S</v>
      </c>
      <c r="B46">
        <f ca="1">ORÇAMENTO!D46</f>
        <v>0</v>
      </c>
      <c r="C46" s="114" t="str">
        <f t="shared" ca="1" si="1"/>
        <v>F</v>
      </c>
      <c r="D46" s="117" t="str">
        <f ca="1">ORÇAMENTO!O46</f>
        <v>1.5.2.</v>
      </c>
      <c r="E46" s="163" t="str">
        <f t="shared" si="2"/>
        <v>IMPRIMADURA BETUMINOSA LIGANTE</v>
      </c>
      <c r="F46" s="164" t="str" cm="1">
        <f t="array" aca="1" ref="F46" ca="1">IF(RegimeExecucao="Global","",ORÇAMENTO.Unidade)</f>
        <v/>
      </c>
      <c r="G46" s="122" t="str" cm="1">
        <f t="array" aca="1" ref="G46" ca="1">IF(RegimeExecucao="Global","",ORÇAMENTO!T46)</f>
        <v/>
      </c>
      <c r="H46" s="122" t="str" cm="1">
        <f t="array" aca="1" ref="H46" ca="1">IF(RegimeExecucao="Global","",ORÇAMENTO!W46)</f>
        <v/>
      </c>
      <c r="I46" s="125">
        <f ca="1">ORÇAMENTO!X46</f>
        <v>11804.68</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1"/>
        <v>F</v>
      </c>
      <c r="D47" s="117" t="str">
        <f ca="1">ORÇAMENTO!O47</f>
        <v>1.5.3.</v>
      </c>
      <c r="E47" s="163" t="str">
        <f t="shared" ca="1" si="2"/>
        <v>EXECUÇÃO DE PAVIMENTO COM APLICAÇÃO DE CONCRETO ASFÁLTICO, CAMADA DE ROLAMENTO - EXCLUSIVE CARGA E TRANSPORTE. AF_10/2025</v>
      </c>
      <c r="F47" s="164" t="str" cm="1">
        <f t="array" aca="1" ref="F47" ca="1">IF(RegimeExecucao="Global","",ORÇAMENTO.Unidade)</f>
        <v/>
      </c>
      <c r="G47" s="122" t="str" cm="1">
        <f t="array" aca="1" ref="G47" ca="1">IF(RegimeExecucao="Global","",ORÇAMENTO!T47)</f>
        <v/>
      </c>
      <c r="H47" s="122" t="str" cm="1">
        <f t="array" aca="1" ref="H47" ca="1">IF(RegimeExecucao="Global","",ORÇAMENTO!W47)</f>
        <v/>
      </c>
      <c r="I47" s="125">
        <f ca="1">ORÇAMENTO!X47</f>
        <v>203008.36</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14" t="str">
        <f t="shared" ca="1" si="1"/>
        <v>F</v>
      </c>
      <c r="D48" s="117" t="str">
        <f ca="1">ORÇAMENTO!O48</f>
        <v>1.5.4.</v>
      </c>
      <c r="E48" s="163" t="str">
        <f t="shared" ca="1" si="2"/>
        <v>TRANSPORTE COM CAMINHÃO BASCULANTE DE 14 M³, EM VIA URBANA PAVIMENTADA, DMT ATÉ 30 KM (UNIDADE: M3XKM). AF_07/2020</v>
      </c>
      <c r="F48" s="164" t="str" cm="1">
        <f t="array" aca="1" ref="F48" ca="1">IF(RegimeExecucao="Global","",ORÇAMENTO.Unidade)</f>
        <v/>
      </c>
      <c r="G48" s="122" t="str" cm="1">
        <f t="array" aca="1" ref="G48" ca="1">IF(RegimeExecucao="Global","",ORÇAMENTO!T48)</f>
        <v/>
      </c>
      <c r="H48" s="122" t="str" cm="1">
        <f t="array" aca="1" ref="H48" ca="1">IF(RegimeExecucao="Global","",ORÇAMENTO!W48)</f>
        <v/>
      </c>
      <c r="I48" s="125">
        <f ca="1">ORÇAMENTO!X48</f>
        <v>9115.6200000000008</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f ca="1">ORÇAMENTO!C49</f>
        <v>2</v>
      </c>
      <c r="B49">
        <f ca="1">ORÇAMENTO!D49</f>
        <v>5</v>
      </c>
      <c r="C49" s="114" t="str">
        <f t="shared" ca="1" si="1"/>
        <v>F</v>
      </c>
      <c r="D49" s="117" t="str">
        <f ca="1">ORÇAMENTO!O49</f>
        <v>1.6.</v>
      </c>
      <c r="E49" s="163" t="str">
        <f t="shared" si="2"/>
        <v>RECAPEAMENTO/RECUPERAÇÃO ASFÁLTICA - TRECHO DA RUA ANTÔNIO MORAES ROSA</v>
      </c>
      <c r="F49" s="164" t="str" cm="1">
        <f t="array" aca="1" ref="F49" ca="1">IF(RegimeExecucao="Global","",ORÇAMENTO.Unidade)</f>
        <v/>
      </c>
      <c r="G49" s="122" t="str" cm="1">
        <f t="array" aca="1" ref="G49" ca="1">IF(RegimeExecucao="Global","",ORÇAMENTO!T49)</f>
        <v/>
      </c>
      <c r="H49" s="122" t="str" cm="1">
        <f t="array" aca="1" ref="H49" ca="1">IF(RegimeExecucao="Global","",ORÇAMENTO!W49)</f>
        <v/>
      </c>
      <c r="I49" s="125">
        <f ca="1">ORÇAMENTO!X49</f>
        <v>150169.41</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t="str">
        <f ca="1">ORÇAMENTO!C50</f>
        <v>S</v>
      </c>
      <c r="B50">
        <f ca="1">ORÇAMENTO!D50</f>
        <v>0</v>
      </c>
      <c r="C50" s="114" t="str">
        <f t="shared" ca="1" si="1"/>
        <v>F</v>
      </c>
      <c r="D50" s="117" t="str">
        <f ca="1">ORÇAMENTO!O50</f>
        <v>1.6.1.</v>
      </c>
      <c r="E50" s="163" t="str">
        <f t="shared" si="2"/>
        <v>VARRIÇÃO DE PAVIMENTO PARA RECAPEAMENTO</v>
      </c>
      <c r="F50" s="164" t="str" cm="1">
        <f t="array" aca="1" ref="F50" ca="1">IF(RegimeExecucao="Global","",ORÇAMENTO.Unidade)</f>
        <v/>
      </c>
      <c r="G50" s="122" t="str" cm="1">
        <f t="array" aca="1" ref="G50" ca="1">IF(RegimeExecucao="Global","",ORÇAMENTO!T50)</f>
        <v/>
      </c>
      <c r="H50" s="122" t="str" cm="1">
        <f t="array" aca="1" ref="H50" ca="1">IF(RegimeExecucao="Global","",ORÇAMENTO!W50)</f>
        <v/>
      </c>
      <c r="I50" s="125">
        <f ca="1">ORÇAMENTO!X50</f>
        <v>2106.17</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t="str">
        <f ca="1">ORÇAMENTO!C51</f>
        <v>S</v>
      </c>
      <c r="B51">
        <f ca="1">ORÇAMENTO!D51</f>
        <v>0</v>
      </c>
      <c r="C51" s="114" t="str">
        <f t="shared" ca="1" si="1"/>
        <v>F</v>
      </c>
      <c r="D51" s="117" t="str">
        <f ca="1">ORÇAMENTO!O51</f>
        <v>1.6.2.</v>
      </c>
      <c r="E51" s="163" t="str">
        <f t="shared" si="2"/>
        <v>IMPRIMADURA BETUMINOSA LIGANTE</v>
      </c>
      <c r="F51" s="164" t="str" cm="1">
        <f t="array" aca="1" ref="F51" ca="1">IF(RegimeExecucao="Global","",ORÇAMENTO.Unidade)</f>
        <v/>
      </c>
      <c r="G51" s="122" t="str" cm="1">
        <f t="array" aca="1" ref="G51" ca="1">IF(RegimeExecucao="Global","",ORÇAMENTO!T51)</f>
        <v/>
      </c>
      <c r="H51" s="122" t="str" cm="1">
        <f t="array" aca="1" ref="H51" ca="1">IF(RegimeExecucao="Global","",ORÇAMENTO!W51)</f>
        <v/>
      </c>
      <c r="I51" s="125">
        <f ca="1">ORÇAMENTO!X51</f>
        <v>7805.21</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4" t="str">
        <f t="shared" ca="1" si="1"/>
        <v>F</v>
      </c>
      <c r="D52" s="117" t="str">
        <f ca="1">ORÇAMENTO!O52</f>
        <v>1.6.3.</v>
      </c>
      <c r="E52" s="163" t="str">
        <f t="shared" ca="1" si="2"/>
        <v>EXECUÇÃO DE PAVIMENTO COM APLICAÇÃO DE CONCRETO ASFÁLTICO, CAMADA DE ROLAMENTO - EXCLUSIVE CARGA E TRANSPORTE. AF_10/2025</v>
      </c>
      <c r="F52" s="164" t="str" cm="1">
        <f t="array" aca="1" ref="F52" ca="1">IF(RegimeExecucao="Global","",ORÇAMENTO.Unidade)</f>
        <v/>
      </c>
      <c r="G52" s="122" t="str" cm="1">
        <f t="array" aca="1" ref="G52" ca="1">IF(RegimeExecucao="Global","",ORÇAMENTO!T52)</f>
        <v/>
      </c>
      <c r="H52" s="122" t="str" cm="1">
        <f t="array" aca="1" ref="H52" ca="1">IF(RegimeExecucao="Global","",ORÇAMENTO!W52)</f>
        <v/>
      </c>
      <c r="I52" s="125">
        <f ca="1">ORÇAMENTO!X52</f>
        <v>134230.68</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F</v>
      </c>
      <c r="D53" s="117" t="str">
        <f ca="1">ORÇAMENTO!O53</f>
        <v>1.6.4.</v>
      </c>
      <c r="E53" s="163" t="str">
        <f t="shared" ca="1" si="2"/>
        <v>TRANSPORTE COM CAMINHÃO BASCULANTE DE 14 M³, EM VIA URBANA PAVIMENTADA, DMT ATÉ 30 KM (UNIDADE: M3XKM). AF_07/2020</v>
      </c>
      <c r="F53" s="164" t="str" cm="1">
        <f t="array" aca="1" ref="F53" ca="1">IF(RegimeExecucao="Global","",ORÇAMENTO.Unidade)</f>
        <v/>
      </c>
      <c r="G53" s="122" t="str" cm="1">
        <f t="array" aca="1" ref="G53" ca="1">IF(RegimeExecucao="Global","",ORÇAMENTO!T53)</f>
        <v/>
      </c>
      <c r="H53" s="122" t="str" cm="1">
        <f t="array" aca="1" ref="H53" ca="1">IF(RegimeExecucao="Global","",ORÇAMENTO!W53)</f>
        <v/>
      </c>
      <c r="I53" s="125">
        <f ca="1">ORÇAMENTO!X53</f>
        <v>6027.35</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x14ac:dyDescent="0.2">
      <c r="A54">
        <f ca="1">ORÇAMENTO!C54</f>
        <v>2</v>
      </c>
      <c r="B54">
        <f ca="1">ORÇAMENTO!D54</f>
        <v>2</v>
      </c>
      <c r="C54" s="114" t="str">
        <f t="shared" ca="1" si="1"/>
        <v>F</v>
      </c>
      <c r="D54" s="117" t="str">
        <f ca="1">ORÇAMENTO!O54</f>
        <v>1.7.</v>
      </c>
      <c r="E54" s="163" t="str">
        <f t="shared" si="2"/>
        <v>LEVANTAMENTO FINAL</v>
      </c>
      <c r="F54" s="164" t="str" cm="1">
        <f t="array" aca="1" ref="F54" ca="1">IF(RegimeExecucao="Global","",ORÇAMENTO.Unidade)</f>
        <v/>
      </c>
      <c r="G54" s="122" t="str" cm="1">
        <f t="array" aca="1" ref="G54" ca="1">IF(RegimeExecucao="Global","",ORÇAMENTO!T54)</f>
        <v/>
      </c>
      <c r="H54" s="122" t="str" cm="1">
        <f t="array" aca="1" ref="H54" ca="1">IF(RegimeExecucao="Global","",ORÇAMENTO!W54)</f>
        <v/>
      </c>
      <c r="I54" s="125">
        <f ca="1">ORÇAMENTO!X54</f>
        <v>3093.08</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14" t="str">
        <f t="shared" ca="1" si="1"/>
        <v>F</v>
      </c>
      <c r="D55" s="117" t="str">
        <f ca="1">ORÇAMENTO!O55</f>
        <v>1.7.1.</v>
      </c>
      <c r="E55" s="163" t="str">
        <f t="shared" si="2"/>
        <v>LEVANTAMENTO PLANIMÉTRICO DA ÁREA PAVIMENTADA PARA VEÍCULO E PEDESTRE</v>
      </c>
      <c r="F55" s="164" t="str" cm="1">
        <f t="array" aca="1" ref="F55" ca="1">IF(RegimeExecucao="Global","",ORÇAMENTO.Unidade)</f>
        <v/>
      </c>
      <c r="G55" s="122" t="str" cm="1">
        <f t="array" aca="1" ref="G55" ca="1">IF(RegimeExecucao="Global","",ORÇAMENTO!T55)</f>
        <v/>
      </c>
      <c r="H55" s="122" t="str" cm="1">
        <f t="array" aca="1" ref="H55" ca="1">IF(RegimeExecucao="Global","",ORÇAMENTO!W55)</f>
        <v/>
      </c>
      <c r="I55" s="125">
        <f ca="1">ORÇAMENTO!X55</f>
        <v>3093.08</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5.0999999999999996" customHeight="1" x14ac:dyDescent="0.2">
      <c r="C56" s="114" t="s">
        <v>536</v>
      </c>
      <c r="D56" s="618"/>
      <c r="E56" s="619"/>
      <c r="F56" s="619"/>
      <c r="G56" s="619"/>
      <c r="H56" s="619"/>
      <c r="I56" s="419"/>
      <c r="J56" s="618"/>
      <c r="K56" s="619"/>
      <c r="L56" s="419"/>
      <c r="M56" s="434"/>
      <c r="N56" s="435"/>
      <c r="O56" s="436"/>
      <c r="Q56" s="618"/>
      <c r="R56" s="419"/>
      <c r="T56" s="618"/>
      <c r="U56" s="619"/>
      <c r="V56" s="619"/>
      <c r="W56" s="619"/>
      <c r="X56" s="619"/>
      <c r="Y56" s="619"/>
      <c r="Z56" s="419"/>
      <c r="AB56" s="618"/>
      <c r="AC56" s="619"/>
      <c r="AD56" s="619"/>
      <c r="AE56" s="619"/>
      <c r="AF56" s="619"/>
      <c r="AG56" s="619"/>
      <c r="AH56" s="619"/>
      <c r="AI56" s="619"/>
      <c r="AJ56" s="619"/>
      <c r="AK56" s="619"/>
      <c r="AL56" s="619"/>
      <c r="AM56" s="419"/>
    </row>
    <row r="58" spans="1:41" ht="14.25" x14ac:dyDescent="0.2">
      <c r="D58" s="813" t="s">
        <v>689</v>
      </c>
      <c r="E58" s="813"/>
      <c r="F58" s="813"/>
      <c r="G58" s="813"/>
      <c r="H58" s="813"/>
      <c r="I58" s="813"/>
      <c r="J58" s="813"/>
      <c r="K58" s="813"/>
      <c r="L58" s="813"/>
      <c r="M58" s="813"/>
      <c r="N58" s="813"/>
      <c r="O58" s="813"/>
      <c r="T58" s="814" t="s">
        <v>865</v>
      </c>
      <c r="U58" s="814"/>
      <c r="V58" s="814"/>
      <c r="W58" s="814"/>
      <c r="X58" s="814"/>
      <c r="Y58" s="814"/>
      <c r="Z58" s="814"/>
    </row>
    <row r="59" spans="1:41" ht="12.75" customHeight="1" x14ac:dyDescent="0.2">
      <c r="D59" s="692"/>
      <c r="E59" s="692"/>
      <c r="F59" s="692"/>
      <c r="G59" s="692"/>
      <c r="H59" s="692"/>
      <c r="I59" s="692"/>
      <c r="J59" s="692"/>
      <c r="K59" s="692"/>
      <c r="L59" s="692"/>
      <c r="M59" s="692"/>
      <c r="N59" s="692"/>
      <c r="O59" s="692"/>
      <c r="T59" s="815"/>
      <c r="U59" s="815"/>
      <c r="V59" s="815"/>
      <c r="W59" s="815"/>
      <c r="X59" s="815"/>
      <c r="Y59" s="815"/>
      <c r="Z59" s="815"/>
    </row>
    <row r="60" spans="1:41" ht="12.75" customHeight="1" x14ac:dyDescent="0.2">
      <c r="D60" s="692"/>
      <c r="E60" s="692"/>
      <c r="F60" s="692"/>
      <c r="G60" s="692"/>
      <c r="H60" s="692"/>
      <c r="I60" s="692"/>
      <c r="J60" s="692"/>
      <c r="K60" s="692"/>
      <c r="L60" s="692"/>
      <c r="M60" s="692"/>
      <c r="N60" s="692"/>
      <c r="O60" s="692"/>
      <c r="T60" s="815"/>
      <c r="U60" s="815"/>
      <c r="V60" s="815"/>
      <c r="W60" s="815"/>
      <c r="X60" s="815"/>
      <c r="Y60" s="815"/>
      <c r="Z60" s="815"/>
    </row>
    <row r="61" spans="1:41" ht="12.75" customHeight="1" x14ac:dyDescent="0.2">
      <c r="D61" s="692"/>
      <c r="E61" s="692"/>
      <c r="F61" s="692"/>
      <c r="G61" s="692"/>
      <c r="H61" s="692"/>
      <c r="I61" s="692"/>
      <c r="J61" s="692"/>
      <c r="K61" s="692"/>
      <c r="L61" s="692"/>
      <c r="M61" s="692"/>
      <c r="N61" s="692"/>
      <c r="O61" s="692"/>
      <c r="T61" s="815"/>
      <c r="U61" s="815"/>
      <c r="V61" s="815"/>
      <c r="W61" s="815"/>
      <c r="X61" s="815"/>
      <c r="Y61" s="815"/>
      <c r="Z61" s="815"/>
    </row>
    <row r="62" spans="1:41" ht="14.25" x14ac:dyDescent="0.2">
      <c r="D62" s="443"/>
      <c r="E62" s="443"/>
      <c r="F62" s="443"/>
      <c r="G62" s="443"/>
      <c r="H62" s="443"/>
      <c r="I62" s="443"/>
      <c r="J62" s="443"/>
      <c r="K62" s="443"/>
      <c r="L62" s="443"/>
      <c r="M62" s="443"/>
      <c r="N62" s="443"/>
      <c r="O62" s="443"/>
    </row>
    <row r="63" spans="1:41" ht="15" customHeight="1" x14ac:dyDescent="0.25">
      <c r="D63" s="728" t="str" cm="1">
        <f t="array" aca="1" ref="D63"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63" s="728"/>
      <c r="F63" s="728"/>
      <c r="G63" s="728"/>
      <c r="H63" s="728"/>
      <c r="I63" s="728"/>
      <c r="J63" s="728"/>
      <c r="K63" s="728"/>
      <c r="L63" s="728"/>
    </row>
    <row r="64" spans="1:41" x14ac:dyDescent="0.2">
      <c r="D64" s="811"/>
      <c r="E64" s="811"/>
      <c r="F64" s="811"/>
      <c r="G64" s="811"/>
      <c r="H64" s="811"/>
      <c r="I64" s="811"/>
    </row>
    <row r="65" spans="4:26" x14ac:dyDescent="0.2">
      <c r="D65" s="81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5" s="818"/>
      <c r="F65" s="818"/>
      <c r="G65" s="818"/>
      <c r="H65" s="818"/>
      <c r="I65" s="818"/>
      <c r="J65" s="818"/>
      <c r="K65" s="818"/>
      <c r="L65" s="818"/>
      <c r="M65" s="818"/>
      <c r="N65" s="818"/>
      <c r="O65" s="818"/>
    </row>
    <row r="66" spans="4:26" ht="39.950000000000003" customHeight="1" x14ac:dyDescent="0.25">
      <c r="E66" s="138" t="str">
        <f>Import.Município</f>
        <v>PILAR DO SUL</v>
      </c>
      <c r="J66" s="585" t="str">
        <f ca="1">IF(DADOS!$D$50&lt;&gt;"","Preencher os Dados do Responsável pela Fiscalização, na aba DADOS.","")</f>
        <v/>
      </c>
      <c r="K66" s="585"/>
      <c r="L66" s="585"/>
      <c r="M66" s="585"/>
      <c r="W66" s="819"/>
      <c r="X66" s="819"/>
      <c r="Y66" s="819"/>
      <c r="Z66" s="819"/>
    </row>
    <row r="67" spans="4:26" x14ac:dyDescent="0.2">
      <c r="E67" s="9" t="s">
        <v>693</v>
      </c>
      <c r="J67" s="181" t="s">
        <v>841</v>
      </c>
      <c r="W67" s="181" t="s">
        <v>866</v>
      </c>
    </row>
    <row r="68" spans="4:26" x14ac:dyDescent="0.2">
      <c r="J68" s="77" t="s">
        <v>240</v>
      </c>
      <c r="K68" s="271">
        <f t="array" ref="K68:K71">Import.RespFiscalização</f>
        <v>0</v>
      </c>
      <c r="L68" s="78"/>
      <c r="W68" s="77" t="s">
        <v>240</v>
      </c>
      <c r="X68" s="817"/>
      <c r="Y68" s="817"/>
      <c r="Z68" s="817"/>
    </row>
    <row r="69" spans="4:26" x14ac:dyDescent="0.2">
      <c r="E69" s="459">
        <f>DADOS!$C$48</f>
        <v>0</v>
      </c>
      <c r="J69" s="77" t="s">
        <v>319</v>
      </c>
      <c r="K69" s="271">
        <v>0</v>
      </c>
      <c r="L69" s="78"/>
      <c r="W69" s="77" t="s">
        <v>867</v>
      </c>
      <c r="X69" s="817"/>
      <c r="Y69" s="817"/>
      <c r="Z69" s="817"/>
    </row>
    <row r="70" spans="4:26" x14ac:dyDescent="0.2">
      <c r="E70" s="140" t="s">
        <v>694</v>
      </c>
      <c r="J70" s="77" t="s">
        <v>243</v>
      </c>
      <c r="K70" s="271">
        <v>0</v>
      </c>
      <c r="L70" s="78"/>
      <c r="W70" s="77" t="s">
        <v>243</v>
      </c>
      <c r="X70" s="817"/>
      <c r="Y70" s="817"/>
      <c r="Z70" s="817"/>
    </row>
    <row r="71" spans="4:26" x14ac:dyDescent="0.2">
      <c r="J71" s="77" t="s">
        <v>246</v>
      </c>
      <c r="K71" s="12">
        <v>0</v>
      </c>
      <c r="W71" s="77"/>
      <c r="X71" s="12"/>
    </row>
  </sheetData>
  <sheetProtection algorithmName="SHA-512" hashValue="zby1GQLwR39gqaPcQw3Bij0/+Yy/a/0eIo7D9fdRrcC7VeeOURB2zx2Aueat0LubPUvVgyMMsUNC+mHeOD87yQ==" saltValue="expuezFH0m9GQBSzlz2U+g==" spinCount="100000" sheet="1" objects="1" scenarios="1" autoFilter="0"/>
  <autoFilter ref="C15:C56" xr:uid="{00000000-0001-0000-0B00-000000000000}"/>
  <mergeCells count="33">
    <mergeCell ref="X70:Z70"/>
    <mergeCell ref="D65:O65"/>
    <mergeCell ref="W66:Z66"/>
    <mergeCell ref="X68:Z68"/>
    <mergeCell ref="X69:Z69"/>
    <mergeCell ref="D63:L63"/>
    <mergeCell ref="D64:I64"/>
    <mergeCell ref="AB15:AM15"/>
    <mergeCell ref="D58:O58"/>
    <mergeCell ref="T58:Z58"/>
    <mergeCell ref="D59:O61"/>
    <mergeCell ref="T59:Z61"/>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51:O55 T51:Z55 D16:O19 T16:Z19">
    <cfRule type="expression" dxfId="93" priority="18612" stopIfTrue="1">
      <formula>OR(ACOMPANHAMENTO="PLE",TIPOORCAMENTO="Proposto",$L14&lt;0,AND($L14&gt;100,RegimeExecucao="Global"),$O14&gt;$I14,$O14&lt;0)</formula>
    </cfRule>
    <cfRule type="expression" dxfId="92" priority="18613" stopIfTrue="1">
      <formula>$A14=1</formula>
    </cfRule>
    <cfRule type="expression" dxfId="91" priority="18614" stopIfTrue="1">
      <formula>$A14&lt;&gt;"S"</formula>
    </cfRule>
  </conditionalFormatting>
  <conditionalFormatting sqref="Q14:R14 AB14:AM14 Q51:R55 AB51:AM55 Q16:R19 AB16:AM19">
    <cfRule type="expression" dxfId="90" priority="18615" stopIfTrue="1">
      <formula>$A14=1</formula>
    </cfRule>
    <cfRule type="expression" dxfId="89" priority="18616" stopIfTrue="1">
      <formula>$A14&lt;&gt;"S"</formula>
    </cfRule>
  </conditionalFormatting>
  <conditionalFormatting sqref="E2">
    <cfRule type="expression" dxfId="88" priority="18617" stopIfTrue="1">
      <formula>Import.RegimeExecução="(SELECIONAR)"</formula>
    </cfRule>
  </conditionalFormatting>
  <conditionalFormatting sqref="F13:H13">
    <cfRule type="expression" dxfId="87" priority="18618" stopIfTrue="1">
      <formula>RegimeExecucao="Global"</formula>
    </cfRule>
  </conditionalFormatting>
  <conditionalFormatting sqref="D15:O15">
    <cfRule type="expression" dxfId="86" priority="18619" stopIfTrue="1">
      <formula>OR(ACOMPANHAMENTO="PLE",TIPOORCAMENTO="Proposto")</formula>
    </cfRule>
  </conditionalFormatting>
  <conditionalFormatting sqref="AB13">
    <cfRule type="cellIs" dxfId="85" priority="18620" stopIfTrue="1" operator="notEqual">
      <formula>1</formula>
    </cfRule>
  </conditionalFormatting>
  <conditionalFormatting sqref="O11">
    <cfRule type="expression" dxfId="84" priority="13479">
      <formula>ROUND($P$11,4)&gt;ROUND($P$10,4)</formula>
    </cfRule>
  </conditionalFormatting>
  <conditionalFormatting sqref="D20:O20 T20:Z20 T33:Z35 D33:O35 T23:Z27 D23:O27">
    <cfRule type="expression" dxfId="83" priority="161" stopIfTrue="1">
      <formula>OR(ACOMPANHAMENTO="PLE",TIPOORCAMENTO="Proposto",$L20&lt;0,AND($L20&gt;100,RegimeExecucao="Global"),$O20&gt;$I20,$O20&lt;0)</formula>
    </cfRule>
    <cfRule type="expression" dxfId="82" priority="162" stopIfTrue="1">
      <formula>$A20=1</formula>
    </cfRule>
    <cfRule type="expression" dxfId="81" priority="163" stopIfTrue="1">
      <formula>$A20&lt;&gt;"S"</formula>
    </cfRule>
  </conditionalFormatting>
  <conditionalFormatting sqref="Q20:R20 AB20:AM20 AB33:AM35 Q33:R35 AB23:AM27 Q23:R27">
    <cfRule type="expression" dxfId="80" priority="164" stopIfTrue="1">
      <formula>$A20=1</formula>
    </cfRule>
    <cfRule type="expression" dxfId="79" priority="165" stopIfTrue="1">
      <formula>$A20&lt;&gt;"S"</formula>
    </cfRule>
  </conditionalFormatting>
  <conditionalFormatting sqref="D37:O38 T37:Z38 T44:Z50 D44:O50">
    <cfRule type="expression" dxfId="78" priority="156" stopIfTrue="1">
      <formula>OR(ACOMPANHAMENTO="PLE",TIPOORCAMENTO="Proposto",$L37&lt;0,AND($L37&gt;100,RegimeExecucao="Global"),$O37&gt;$I37,$O37&lt;0)</formula>
    </cfRule>
    <cfRule type="expression" dxfId="77" priority="157" stopIfTrue="1">
      <formula>$A37=1</formula>
    </cfRule>
    <cfRule type="expression" dxfId="76" priority="158" stopIfTrue="1">
      <formula>$A37&lt;&gt;"S"</formula>
    </cfRule>
  </conditionalFormatting>
  <conditionalFormatting sqref="Q37:R38 AB37:AM38 AB44:AM50 Q44:R50">
    <cfRule type="expression" dxfId="75" priority="159" stopIfTrue="1">
      <formula>$A37=1</formula>
    </cfRule>
    <cfRule type="expression" dxfId="74" priority="160" stopIfTrue="1">
      <formula>$A37&lt;&gt;"S"</formula>
    </cfRule>
  </conditionalFormatting>
  <conditionalFormatting sqref="D28:O28 T28:Z28">
    <cfRule type="expression" dxfId="73" priority="26" stopIfTrue="1">
      <formula>OR(ACOMPANHAMENTO="PLE",TIPOORCAMENTO="Proposto",$L28&lt;0,AND($L28&gt;100,RegimeExecucao="Global"),$O28&gt;$I28,$O28&lt;0)</formula>
    </cfRule>
    <cfRule type="expression" dxfId="72" priority="27" stopIfTrue="1">
      <formula>$A28=1</formula>
    </cfRule>
    <cfRule type="expression" dxfId="71" priority="28" stopIfTrue="1">
      <formula>$A28&lt;&gt;"S"</formula>
    </cfRule>
  </conditionalFormatting>
  <conditionalFormatting sqref="Q28:R28 AB28:AM28">
    <cfRule type="expression" dxfId="70" priority="29" stopIfTrue="1">
      <formula>$A28=1</formula>
    </cfRule>
    <cfRule type="expression" dxfId="69" priority="30" stopIfTrue="1">
      <formula>$A28&lt;&gt;"S"</formula>
    </cfRule>
  </conditionalFormatting>
  <conditionalFormatting sqref="D29:O32 T29:Z32">
    <cfRule type="expression" dxfId="68" priority="21" stopIfTrue="1">
      <formula>OR(ACOMPANHAMENTO="PLE",TIPOORCAMENTO="Proposto",$L29&lt;0,AND($L29&gt;100,RegimeExecucao="Global"),$O29&gt;$I29,$O29&lt;0)</formula>
    </cfRule>
    <cfRule type="expression" dxfId="67" priority="22" stopIfTrue="1">
      <formula>$A29=1</formula>
    </cfRule>
    <cfRule type="expression" dxfId="66" priority="23" stopIfTrue="1">
      <formula>$A29&lt;&gt;"S"</formula>
    </cfRule>
  </conditionalFormatting>
  <conditionalFormatting sqref="Q29:R32 AB29:AM32">
    <cfRule type="expression" dxfId="65" priority="24" stopIfTrue="1">
      <formula>$A29=1</formula>
    </cfRule>
    <cfRule type="expression" dxfId="64" priority="25" stopIfTrue="1">
      <formula>$A29&lt;&gt;"S"</formula>
    </cfRule>
  </conditionalFormatting>
  <conditionalFormatting sqref="D39:O43 T39:Z43">
    <cfRule type="expression" dxfId="63" priority="16" stopIfTrue="1">
      <formula>OR(ACOMPANHAMENTO="PLE",TIPOORCAMENTO="Proposto",$L39&lt;0,AND($L39&gt;100,RegimeExecucao="Global"),$O39&gt;$I39,$O39&lt;0)</formula>
    </cfRule>
    <cfRule type="expression" dxfId="62" priority="17" stopIfTrue="1">
      <formula>$A39=1</formula>
    </cfRule>
    <cfRule type="expression" dxfId="61" priority="18" stopIfTrue="1">
      <formula>$A39&lt;&gt;"S"</formula>
    </cfRule>
  </conditionalFormatting>
  <conditionalFormatting sqref="Q39:R43 AB39:AM43">
    <cfRule type="expression" dxfId="60" priority="19" stopIfTrue="1">
      <formula>$A39=1</formula>
    </cfRule>
    <cfRule type="expression" dxfId="59" priority="20" stopIfTrue="1">
      <formula>$A39&lt;&gt;"S"</formula>
    </cfRule>
  </conditionalFormatting>
  <conditionalFormatting sqref="D36:O36 T36:Z36">
    <cfRule type="expression" dxfId="58" priority="11" stopIfTrue="1">
      <formula>OR(ACOMPANHAMENTO="PLE",TIPOORCAMENTO="Proposto",$L36&lt;0,AND($L36&gt;100,RegimeExecucao="Global"),$O36&gt;$I36,$O36&lt;0)</formula>
    </cfRule>
    <cfRule type="expression" dxfId="57" priority="12" stopIfTrue="1">
      <formula>$A36=1</formula>
    </cfRule>
    <cfRule type="expression" dxfId="56" priority="13" stopIfTrue="1">
      <formula>$A36&lt;&gt;"S"</formula>
    </cfRule>
  </conditionalFormatting>
  <conditionalFormatting sqref="Q36:R36 AB36:AM36">
    <cfRule type="expression" dxfId="55" priority="14" stopIfTrue="1">
      <formula>$A36=1</formula>
    </cfRule>
    <cfRule type="expression" dxfId="54" priority="15" stopIfTrue="1">
      <formula>$A36&lt;&gt;"S"</formula>
    </cfRule>
  </conditionalFormatting>
  <conditionalFormatting sqref="D21:O21 T21:Z21">
    <cfRule type="expression" dxfId="53" priority="6" stopIfTrue="1">
      <formula>OR(ACOMPANHAMENTO="PLE",TIPOORCAMENTO="Proposto",$L21&lt;0,AND($L21&gt;100,RegimeExecucao="Global"),$O21&gt;$I21,$O21&lt;0)</formula>
    </cfRule>
    <cfRule type="expression" dxfId="52" priority="7" stopIfTrue="1">
      <formula>$A21=1</formula>
    </cfRule>
    <cfRule type="expression" dxfId="51" priority="8" stopIfTrue="1">
      <formula>$A21&lt;&gt;"S"</formula>
    </cfRule>
  </conditionalFormatting>
  <conditionalFormatting sqref="Q21:R21 AB21:AM21">
    <cfRule type="expression" dxfId="50" priority="9" stopIfTrue="1">
      <formula>$A21=1</formula>
    </cfRule>
    <cfRule type="expression" dxfId="49" priority="10" stopIfTrue="1">
      <formula>$A21&lt;&gt;"S"</formula>
    </cfRule>
  </conditionalFormatting>
  <conditionalFormatting sqref="D22:O22 T22:Z22">
    <cfRule type="expression" dxfId="48" priority="1" stopIfTrue="1">
      <formula>OR(ACOMPANHAMENTO="PLE",TIPOORCAMENTO="Proposto",$L22&lt;0,AND($L22&gt;100,RegimeExecucao="Global"),$O22&gt;$I22,$O22&lt;0)</formula>
    </cfRule>
    <cfRule type="expression" dxfId="47" priority="2" stopIfTrue="1">
      <formula>$A22=1</formula>
    </cfRule>
    <cfRule type="expression" dxfId="46" priority="3" stopIfTrue="1">
      <formula>$A22&lt;&gt;"S"</formula>
    </cfRule>
  </conditionalFormatting>
  <conditionalFormatting sqref="Q22:R22 AB22:AM22">
    <cfRule type="expression" dxfId="45" priority="4" stopIfTrue="1">
      <formula>$A22=1</formula>
    </cfRule>
    <cfRule type="expression" dxfId="44" priority="5" stopIfTrue="1">
      <formula>$A22&lt;&gt;"S"</formula>
    </cfRule>
  </conditionalFormatting>
  <dataValidations count="4">
    <dataValidation type="list" allowBlank="1" showErrorMessage="1" sqref="Z14 Z16:Z5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J16</f>
        <v>Repasse</v>
      </c>
      <c r="AD2" s="349">
        <f ca="1">AD6-AD4-AD3</f>
        <v>0</v>
      </c>
      <c r="AE2" s="349">
        <f ca="1">AE6-AE4-AE3</f>
        <v>0</v>
      </c>
    </row>
    <row r="3" spans="1:41" x14ac:dyDescent="0.2">
      <c r="E3" s="733" t="s">
        <v>652</v>
      </c>
      <c r="F3" s="733"/>
      <c r="G3" s="733"/>
      <c r="H3" s="733"/>
      <c r="I3" s="679" t="s">
        <v>650</v>
      </c>
      <c r="J3" s="679"/>
      <c r="K3" s="679"/>
      <c r="L3" s="87" t="s">
        <v>707</v>
      </c>
      <c r="M3" s="146"/>
      <c r="O3" s="350"/>
      <c r="P3" s="274" t="s">
        <v>715</v>
      </c>
      <c r="R3" s="146"/>
      <c r="S3" s="146"/>
      <c r="T3" s="146"/>
      <c r="U3" s="146"/>
      <c r="AC3" s="348" t="s">
        <v>456</v>
      </c>
      <c r="AD3" s="349">
        <f ca="1">SUM(T13:OFFSET(T15,-1,0))</f>
        <v>0</v>
      </c>
      <c r="AE3" s="349">
        <f ca="1">IF(OR($O$19&lt;$M$19,$M$17&gt;$AD$3),MIN($M$17,$L$17),MIN($AD$3,$N$19-$N$18+$M$17))</f>
        <v>0</v>
      </c>
    </row>
    <row r="4" spans="1:41" ht="12.75" customHeight="1" x14ac:dyDescent="0.2">
      <c r="E4" s="731" t="str">
        <f>Import.Proponente</f>
        <v>PREFEITURA MUNICIPAL DE PILAR DO SUL</v>
      </c>
      <c r="F4" s="731"/>
      <c r="G4" s="731"/>
      <c r="H4" s="731"/>
      <c r="I4" s="682" t="str">
        <f>Import.CR</f>
        <v>1101329-56</v>
      </c>
      <c r="J4" s="682"/>
      <c r="K4" s="682"/>
      <c r="L4" s="56" t="str">
        <f>Import.TransfereGOV</f>
        <v>11213/2025</v>
      </c>
      <c r="M4" s="832" t="s">
        <v>809</v>
      </c>
      <c r="N4" s="833"/>
      <c r="O4" s="834"/>
      <c r="P4" s="351" t="str">
        <f>import.recurso</f>
        <v>OGU</v>
      </c>
      <c r="R4" s="146"/>
      <c r="S4" s="146"/>
      <c r="T4" s="350"/>
      <c r="U4" s="350"/>
      <c r="AC4" s="348" t="s">
        <v>871</v>
      </c>
      <c r="AD4" s="349">
        <f ca="1">SUM(U13:OFFSET(U15,-1,0))</f>
        <v>0</v>
      </c>
      <c r="AE4" s="349">
        <f ca="1">IF(OR($O$19&lt;$M$19,$M$18&gt;$AD$4),MIN($M$18,$L$18),MIN($AD$4,$N$19+$M$18))</f>
        <v>0</v>
      </c>
    </row>
    <row r="5" spans="1:41" ht="5.0999999999999996" customHeight="1" x14ac:dyDescent="0.2">
      <c r="H5" s="277"/>
      <c r="I5" s="277"/>
      <c r="J5" s="277"/>
      <c r="K5" s="277"/>
      <c r="L5" s="277"/>
      <c r="M5" s="352"/>
      <c r="N5" s="265"/>
      <c r="O5" s="4"/>
      <c r="R5" s="146"/>
      <c r="S5" s="146"/>
      <c r="T5" s="146"/>
      <c r="U5" s="146"/>
    </row>
    <row r="6" spans="1:41" ht="12.75" customHeight="1" x14ac:dyDescent="0.2">
      <c r="E6" s="679" t="s">
        <v>708</v>
      </c>
      <c r="F6" s="679"/>
      <c r="G6" s="679"/>
      <c r="H6" s="679"/>
      <c r="I6" s="820" t="s">
        <v>808</v>
      </c>
      <c r="J6" s="820"/>
      <c r="K6" s="820"/>
      <c r="L6" s="820"/>
      <c r="M6" s="55" t="str">
        <f>IF(import.recurso="FGTS","FINANCIAMENTO","REPASSE")</f>
        <v>REPASSE</v>
      </c>
      <c r="N6" s="96" t="s">
        <v>810</v>
      </c>
      <c r="O6" s="55" t="s">
        <v>811</v>
      </c>
      <c r="P6" s="147" t="s">
        <v>872</v>
      </c>
      <c r="R6" s="146"/>
      <c r="S6" s="146"/>
      <c r="T6" s="146"/>
      <c r="U6" s="146"/>
      <c r="AC6" s="348" t="s">
        <v>873</v>
      </c>
      <c r="AD6" s="349">
        <f ca="1">$O$19</f>
        <v>0</v>
      </c>
      <c r="AE6" s="349">
        <f ca="1">AD6</f>
        <v>0</v>
      </c>
    </row>
    <row r="7" spans="1:41" ht="12.75" customHeight="1" x14ac:dyDescent="0.2">
      <c r="D7" s="686" t="s">
        <v>655</v>
      </c>
      <c r="E7" s="682" t="str">
        <f>Import.Apelido</f>
        <v>INFRAESTRUTURA URBANA COM RECUPERAÇÃO, DRENAGEM E RECAPEAMENTO ASFÁLTICO RUAS DO MUNICÍPIO DE PILAR DO SUL</v>
      </c>
      <c r="F7" s="682"/>
      <c r="G7" s="682"/>
      <c r="H7" s="682"/>
      <c r="I7" s="821" t="str">
        <f>Import.Município</f>
        <v>PILAR DO SUL</v>
      </c>
      <c r="J7" s="821"/>
      <c r="K7" s="821"/>
      <c r="L7" s="821"/>
      <c r="M7" s="353">
        <f>Import.Repasse</f>
        <v>960019</v>
      </c>
      <c r="N7" s="354">
        <f>Import.Contrapartida</f>
        <v>121667.62</v>
      </c>
      <c r="O7" s="353">
        <f>M7+N7</f>
        <v>1081686.6200000001</v>
      </c>
      <c r="P7" s="423">
        <f>IF(ACOMPANHAMENTO="PLE",PLE.Medicao,BM.medicao)</f>
        <v>1</v>
      </c>
      <c r="R7" s="146"/>
      <c r="S7" s="146"/>
      <c r="T7" s="146"/>
      <c r="U7" s="146"/>
    </row>
    <row r="8" spans="1:41" x14ac:dyDescent="0.2">
      <c r="D8" s="686"/>
      <c r="E8" s="92"/>
      <c r="F8" s="92"/>
      <c r="G8" s="92"/>
      <c r="H8" s="92"/>
      <c r="I8" s="92"/>
      <c r="J8" s="92"/>
      <c r="K8" s="92"/>
      <c r="L8" s="92"/>
      <c r="M8" s="92"/>
      <c r="N8" s="92"/>
      <c r="O8" s="92"/>
      <c r="P8" s="92"/>
      <c r="R8" s="146"/>
      <c r="S8" s="146"/>
      <c r="T8" s="146"/>
      <c r="U8" s="146"/>
    </row>
    <row r="9" spans="1:41" ht="12.75" customHeight="1" x14ac:dyDescent="0.2">
      <c r="D9" s="686"/>
      <c r="G9" s="822" t="s">
        <v>874</v>
      </c>
      <c r="H9" s="822"/>
      <c r="I9" s="822" t="s">
        <v>875</v>
      </c>
      <c r="J9" s="822"/>
      <c r="K9" s="355"/>
      <c r="L9" s="823" t="s">
        <v>815</v>
      </c>
      <c r="M9" s="356" t="s">
        <v>818</v>
      </c>
      <c r="N9" s="278" t="s">
        <v>741</v>
      </c>
      <c r="P9" s="357"/>
      <c r="R9" s="146"/>
      <c r="S9" s="146"/>
      <c r="T9" s="146"/>
      <c r="U9" s="146"/>
      <c r="V9" s="7" t="s">
        <v>876</v>
      </c>
    </row>
    <row r="10" spans="1:41" ht="12.75" customHeight="1" x14ac:dyDescent="0.2">
      <c r="D10" s="686"/>
      <c r="G10" s="699" t="str">
        <f ca="1">IF(J10="-","-",IF($P$15&lt;J10,"Atrasada",IF($P$15&gt;J10,"Adiantada","Normal")))</f>
        <v>Normal</v>
      </c>
      <c r="H10" s="699"/>
      <c r="I10" s="358">
        <f>DATE(YEAR($L$26),MONTH($L$26),1)</f>
        <v>1</v>
      </c>
      <c r="J10" s="359">
        <f ca="1">IF($I$10&lt;DATE(YEAR(CRONO!$U$13),MONTH(CRONO!$U$13),1),0,IF($I$10&gt;OFFSET(CRONO!$AG$13,0,-1),1,INDEX(CRONO!$T$44:$AH$44,MATCH(RRE!$I$10,CRONO!$T$13:$AG$13,0))))</f>
        <v>0</v>
      </c>
      <c r="K10" s="355"/>
      <c r="L10" s="823"/>
      <c r="M10" s="360">
        <f ca="1">QCI!L10</f>
        <v>0</v>
      </c>
      <c r="N10" s="280">
        <f ca="1">QCI!M10</f>
        <v>0</v>
      </c>
      <c r="P10" s="357"/>
      <c r="R10" s="146"/>
      <c r="S10" s="146"/>
      <c r="T10" s="146"/>
      <c r="U10" s="146"/>
      <c r="AC10" s="824" t="s">
        <v>76</v>
      </c>
      <c r="AD10" s="824"/>
      <c r="AE10" s="824"/>
      <c r="AF10" s="824"/>
      <c r="AG10" s="824"/>
      <c r="AH10" s="824"/>
      <c r="AJ10" s="824" t="s">
        <v>78</v>
      </c>
      <c r="AK10" s="824"/>
      <c r="AL10" s="824"/>
      <c r="AM10" s="824"/>
      <c r="AN10" s="824"/>
      <c r="AO10" s="824"/>
    </row>
    <row r="11" spans="1:41" ht="20.100000000000001" customHeight="1" x14ac:dyDescent="0.2">
      <c r="D11" s="686"/>
      <c r="M11" s="451" t="str">
        <f>IF(CAIXA.Modo,"Valores Aferidos (R$)","Valores Medidos (R$)")</f>
        <v>Valores Medidos (R$)</v>
      </c>
      <c r="N11" s="451"/>
      <c r="O11" s="451"/>
      <c r="R11" s="361"/>
      <c r="S11" s="361"/>
      <c r="T11" s="451"/>
      <c r="U11" s="451"/>
      <c r="V11" s="448" t="s">
        <v>877</v>
      </c>
      <c r="Y11" s="825" t="str">
        <f>IF(CAIXA.Modo,"Valores Aferidos (R$)","Valores Medidos (R$)")</f>
        <v>Valores Medidos (R$)</v>
      </c>
      <c r="Z11" s="825"/>
      <c r="AC11" s="826" t="s">
        <v>878</v>
      </c>
      <c r="AD11" s="826"/>
      <c r="AE11" s="826"/>
      <c r="AF11" s="826" t="s">
        <v>879</v>
      </c>
      <c r="AG11" s="826"/>
      <c r="AH11" s="826"/>
      <c r="AJ11" s="826" t="s">
        <v>878</v>
      </c>
      <c r="AK11" s="826"/>
      <c r="AL11" s="826"/>
      <c r="AM11" s="826" t="s">
        <v>879</v>
      </c>
      <c r="AN11" s="826"/>
      <c r="AO11" s="826"/>
    </row>
    <row r="12" spans="1:41" ht="30" hidden="1" customHeight="1" x14ac:dyDescent="0.2">
      <c r="A12" t="e">
        <f ca="1">MATCH(E12,ORÇAMENTO!$E$15:$E$56,0)-1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MATCH(E14,ORÇAMENTO!$E$15:$E$56,0)-1</f>
        <v>1</v>
      </c>
      <c r="B14">
        <f ca="1">IF(ISERROR($A14),NA(),OFFSET(ORÇAMENTO!$D$15,$A14,0))</f>
        <v>40</v>
      </c>
      <c r="C14" t="str">
        <f ca="1">QCI!B14</f>
        <v>Automático</v>
      </c>
      <c r="D14" t="str">
        <f t="shared" ref="D14" ca="1" si="0">IF(L14&gt;0,"F","")</f>
        <v>F</v>
      </c>
      <c r="E14" s="281">
        <f>QCI!D14</f>
        <v>1</v>
      </c>
      <c r="F14" s="362" t="str">
        <f ca="1">QCI!G14</f>
        <v>QUALIFICAÇÃO VIÁRIA COM EXECUÇÃO DE RECAPEAMENTO ASFÁLTICO EM RUAS DO MUNICÍPIO DE PILAR DO SUL-SP</v>
      </c>
      <c r="G14" s="363" t="str">
        <f>QCI!H14</f>
        <v>Em Análise</v>
      </c>
      <c r="H14" s="282">
        <f>QCI!I14</f>
        <v>10665.78</v>
      </c>
      <c r="I14" s="282" t="str">
        <f ca="1">QCI!J14</f>
        <v>m²</v>
      </c>
      <c r="J14" s="364" t="str">
        <f ca="1">QCI!K14</f>
        <v>LOTE 1</v>
      </c>
      <c r="K14" s="365" cm="1">
        <f t="array" aca="1" ref="K14" ca="1">IF($C14="Automático",IF(ACOMPANHAMENTO="BM",BM.medicao,PLE.Medicao),IF(ISBLANK($X14),"",$X14))</f>
        <v>1</v>
      </c>
      <c r="L14" s="286">
        <f ca="1">QCI!$O14</f>
        <v>1081686.6200000001</v>
      </c>
      <c r="M14" s="283">
        <f t="shared" ref="M14" ca="1" si="1">ROUND(IF(C14="Automático",AE14+AL14,Y14),2)</f>
        <v>0</v>
      </c>
      <c r="N14" s="284">
        <f t="shared" ref="N14" ca="1" si="2">O14-M14</f>
        <v>0</v>
      </c>
      <c r="O14" s="285">
        <f t="shared" ref="O14" ca="1" si="3">ROUND(IF(C14="Automático",AH14+AO14,Z14),2)</f>
        <v>0</v>
      </c>
      <c r="P14" s="367">
        <f t="shared" ref="P14"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12.95" customHeight="1" x14ac:dyDescent="0.2">
      <c r="D15" t="s">
        <v>536</v>
      </c>
      <c r="E15" s="1"/>
      <c r="F15" s="1"/>
      <c r="G15" s="1"/>
      <c r="H15" s="1"/>
      <c r="I15" s="2"/>
      <c r="J15" s="841" t="s">
        <v>889</v>
      </c>
      <c r="K15" s="842"/>
      <c r="L15" s="369">
        <f ca="1">IF(ISERROR(L19/$L19),0,ROUND(L19/$L19,4))</f>
        <v>1</v>
      </c>
      <c r="M15" s="371">
        <f ca="1">IF(ISERROR(M19/$L19),0,ROUND(M19/$L19,4))</f>
        <v>0</v>
      </c>
      <c r="N15" s="370">
        <f ca="1">IF(ISERROR(N19/$L19),0,ROUND(N19/$L19,4))</f>
        <v>0</v>
      </c>
      <c r="O15" s="372">
        <f ca="1">IF(ISERROR(O19/$L19),0,ROUND(O19/$L19,4))</f>
        <v>0</v>
      </c>
      <c r="P15" s="843">
        <f ca="1">O19/(L19+10^-12)</f>
        <v>0</v>
      </c>
      <c r="X15" s="302"/>
      <c r="Y15" s="304"/>
      <c r="Z15" s="305"/>
    </row>
    <row r="16" spans="1:41" ht="12.95" customHeight="1" x14ac:dyDescent="0.2">
      <c r="D16" t="s">
        <v>536</v>
      </c>
      <c r="I16" s="4"/>
      <c r="J16" s="844" t="str">
        <f>IF(import.recurso="FGTS","Financiamento","Repasse")</f>
        <v>Repasse</v>
      </c>
      <c r="K16" s="845"/>
      <c r="L16" s="286">
        <f ca="1">QCI!L15</f>
        <v>960019.00000000012</v>
      </c>
      <c r="M16" s="283">
        <f ca="1">M19-M18-M17</f>
        <v>0</v>
      </c>
      <c r="N16" s="284">
        <f ca="1">O16-M16</f>
        <v>0</v>
      </c>
      <c r="O16" s="285">
        <f ca="1">O19-O18-O17</f>
        <v>0</v>
      </c>
      <c r="P16" s="843"/>
      <c r="X16" s="373"/>
      <c r="Y16" s="374" t="s">
        <v>890</v>
      </c>
      <c r="Z16" s="375" t="s">
        <v>891</v>
      </c>
      <c r="AC16" s="376" t="s">
        <v>892</v>
      </c>
      <c r="AD16" s="376" t="s">
        <v>893</v>
      </c>
    </row>
    <row r="17" spans="4:30" ht="12.95" customHeight="1" x14ac:dyDescent="0.2">
      <c r="D17" t="s">
        <v>536</v>
      </c>
      <c r="I17" s="4"/>
      <c r="J17" s="846" t="s">
        <v>894</v>
      </c>
      <c r="K17" s="847"/>
      <c r="L17" s="377">
        <f ca="1">QCI!M15</f>
        <v>121667.62</v>
      </c>
      <c r="M17" s="378">
        <f ca="1">ROUND(IF(OFFSET($X$17,0,1)&lt;&gt;"",OFFSET($X$17,0,1),SUM(R13:OFFSET(R15,-1,0))),2)</f>
        <v>0</v>
      </c>
      <c r="N17" s="379">
        <f ca="1">O17-M17</f>
        <v>0</v>
      </c>
      <c r="O17" s="380">
        <f ca="1">IF(OFFSET($X$17,0,2)&lt;&gt;"",OFFSET($X$17,0,2),$AE$3)</f>
        <v>0</v>
      </c>
      <c r="P17" s="843"/>
      <c r="X17" s="381" t="s">
        <v>456</v>
      </c>
      <c r="Y17" s="444"/>
      <c r="Z17" s="445"/>
      <c r="AC17" s="382">
        <f ca="1">MIN($L17,$O$19-OFFSET($X$18,0,1))</f>
        <v>0</v>
      </c>
      <c r="AD17" s="382">
        <f ca="1">MIN($L17,$O$19-OFFSET($X$18,0,2))</f>
        <v>0</v>
      </c>
    </row>
    <row r="18" spans="4:30" ht="12.95" customHeight="1" x14ac:dyDescent="0.2">
      <c r="D18" t="s">
        <v>536</v>
      </c>
      <c r="I18" s="4"/>
      <c r="J18" s="827" t="s">
        <v>871</v>
      </c>
      <c r="K18" s="828"/>
      <c r="L18" s="383">
        <f ca="1">QCI!N15</f>
        <v>0</v>
      </c>
      <c r="M18" s="384">
        <f ca="1">ROUND(IF(OFFSET($X$18,0,1)&lt;&gt;"",OFFSET($X$18,0,1),SUM(S13:OFFSET(S15,-1,0))),2)</f>
        <v>0</v>
      </c>
      <c r="N18" s="385">
        <f ca="1">O18-M18</f>
        <v>0</v>
      </c>
      <c r="O18" s="386">
        <f ca="1">IF(OFFSET($X$18,0,2)&lt;&gt;"",OFFSET($X$18,0,2),$AE$4)</f>
        <v>0</v>
      </c>
      <c r="P18" s="843"/>
      <c r="X18" s="387" t="s">
        <v>794</v>
      </c>
      <c r="Y18" s="446"/>
      <c r="Z18" s="447"/>
      <c r="AC18" s="382">
        <f ca="1">MIN($L18,$O$19-OFFSET($X$17,0,1))</f>
        <v>0</v>
      </c>
      <c r="AD18" s="382">
        <f ca="1">MIN($L18,$O$19-OFFSET($X$17,0,2))</f>
        <v>0</v>
      </c>
    </row>
    <row r="19" spans="4:30" ht="15" x14ac:dyDescent="0.2">
      <c r="D19" t="s">
        <v>536</v>
      </c>
      <c r="I19" s="4"/>
      <c r="J19" s="829" t="s">
        <v>873</v>
      </c>
      <c r="K19" s="830"/>
      <c r="L19" s="388">
        <f ca="1">SUM(L13:OFFSET(L15,-1,0))</f>
        <v>1081686.6200000001</v>
      </c>
      <c r="M19" s="648">
        <f ca="1">ROUND(SUM(M13:OFFSET(M15,-1,0)),2)</f>
        <v>0</v>
      </c>
      <c r="N19" s="649">
        <f ca="1">O19-M19</f>
        <v>0</v>
      </c>
      <c r="O19" s="389">
        <f ca="1">SUM(O13:OFFSET(O15,-1,0))</f>
        <v>0</v>
      </c>
      <c r="P19" s="843"/>
      <c r="X19" s="314"/>
      <c r="Y19" s="316"/>
      <c r="Z19" s="317"/>
    </row>
    <row r="20" spans="4:30" x14ac:dyDescent="0.2">
      <c r="O20" s="831" t="str">
        <f ca="1">"Acumulado Anterior:  "&amp;TEXT($M$19/($L$19+10^-12),"0,00%")</f>
        <v>Acumulado Anterior:  0,00%</v>
      </c>
      <c r="P20" s="831"/>
    </row>
    <row r="21" spans="4:30" ht="14.25" x14ac:dyDescent="0.2">
      <c r="E21" s="135" t="s">
        <v>689</v>
      </c>
      <c r="P21" s="414"/>
    </row>
    <row r="22" spans="4:30" ht="12.75" customHeight="1" x14ac:dyDescent="0.2">
      <c r="E22" s="835"/>
      <c r="F22" s="836"/>
      <c r="G22" s="836"/>
      <c r="H22" s="836"/>
      <c r="I22" s="836"/>
      <c r="J22" s="836"/>
      <c r="K22" s="836"/>
      <c r="L22" s="836"/>
      <c r="M22" s="836"/>
      <c r="N22" s="836"/>
      <c r="O22" s="836"/>
      <c r="P22" s="837"/>
    </row>
    <row r="23" spans="4:30" ht="12.75" customHeight="1" x14ac:dyDescent="0.2">
      <c r="E23" s="835"/>
      <c r="F23" s="836"/>
      <c r="G23" s="836"/>
      <c r="H23" s="836"/>
      <c r="I23" s="836"/>
      <c r="J23" s="836"/>
      <c r="K23" s="836"/>
      <c r="L23" s="836"/>
      <c r="M23" s="836"/>
      <c r="N23" s="836"/>
      <c r="O23" s="836"/>
      <c r="P23" s="837"/>
      <c r="Y23" s="390"/>
      <c r="Z23" s="390"/>
    </row>
    <row r="24" spans="4:30" ht="12.75" customHeight="1" x14ac:dyDescent="0.2">
      <c r="E24" s="838"/>
      <c r="F24" s="839"/>
      <c r="G24" s="839"/>
      <c r="H24" s="839"/>
      <c r="I24" s="839"/>
      <c r="J24" s="839"/>
      <c r="K24" s="839"/>
      <c r="L24" s="839"/>
      <c r="M24" s="839"/>
      <c r="N24" s="839"/>
      <c r="O24" s="839"/>
      <c r="P24" s="840"/>
    </row>
    <row r="25" spans="4:30" x14ac:dyDescent="0.2">
      <c r="L25" s="571" t="str">
        <f>IF(L26=0,"Preencher a data de fechamento do RRE na aba DADOS (célula "&amp;ADDRESS(ROW(Import.DataFechaRRE),COLUMN(Import.DataFechaRRE),4)&amp;")","")</f>
        <v>Preencher a data de fechamento do RRE na aba DADOS (célula C48)</v>
      </c>
    </row>
    <row r="26" spans="4:30" ht="15" x14ac:dyDescent="0.2">
      <c r="E26" s="693" t="str">
        <f>Import.Município</f>
        <v>PILAR DO SUL</v>
      </c>
      <c r="F26" s="693"/>
      <c r="G26" s="693"/>
      <c r="I26" s="391"/>
      <c r="K26" s="584"/>
      <c r="L26" s="780">
        <f>DADOS!$C$48</f>
        <v>0</v>
      </c>
      <c r="M26" s="780"/>
      <c r="N26" s="780"/>
      <c r="O26" s="780"/>
    </row>
    <row r="27" spans="4:30" x14ac:dyDescent="0.2">
      <c r="E27" s="9" t="s">
        <v>693</v>
      </c>
      <c r="L27" s="9" t="s">
        <v>694</v>
      </c>
    </row>
    <row r="29" spans="4:30" x14ac:dyDescent="0.2">
      <c r="E29" s="180"/>
      <c r="F29" s="180"/>
      <c r="G29" s="180"/>
      <c r="L29" s="180"/>
      <c r="M29" s="180"/>
      <c r="N29" s="180"/>
      <c r="O29" s="180"/>
    </row>
    <row r="30" spans="4:30" x14ac:dyDescent="0.2">
      <c r="E30" s="392" t="str">
        <f>IF(CAIXA.Modo,"Responsável Gerencial CAIXA","Representante Tomador")</f>
        <v>Representante Tomador</v>
      </c>
      <c r="F30" s="7"/>
      <c r="L30" s="392" t="str">
        <f>IF(CAIXA.Modo,"Responsável Técnico CAIXA","Responsável Técnico pela Fiscalização")</f>
        <v>Responsável Técnico pela Fiscalização</v>
      </c>
    </row>
    <row r="31" spans="4:30" x14ac:dyDescent="0.2">
      <c r="E31" s="77" t="s">
        <v>240</v>
      </c>
      <c r="F31" s="271" t="str">
        <f>IF(CAIXA.Modo,DADOS!C60,DADOS!C28)</f>
        <v>CLAYTON ÁLVARO MACHADO</v>
      </c>
      <c r="L31" s="77" t="s">
        <v>240</v>
      </c>
      <c r="M31" s="818">
        <f>IF(CAIXA.Modo,BM!X68,DADOS!C51)</f>
        <v>0</v>
      </c>
      <c r="N31" s="818"/>
      <c r="O31" s="818"/>
    </row>
    <row r="32" spans="4:30" x14ac:dyDescent="0.2">
      <c r="E32" s="77" t="str">
        <f>IF(CAIXA.Modo,"Função:","Cargo:")</f>
        <v>Cargo:</v>
      </c>
      <c r="F32" s="271" t="str">
        <f>IF(CAIXA.Modo,DADOS!C61,DADOS!C29)</f>
        <v>PREFEITO MUNICIPAL DE PILAR DO SUL</v>
      </c>
      <c r="L32" s="77" t="str">
        <f>IF(CAIXA.Modo,"Matrícula:","Profissão:")</f>
        <v>Profissão:</v>
      </c>
      <c r="M32" s="818">
        <f>IF(CAIXA.Modo,BM!X69,DADOS!C52)</f>
        <v>0</v>
      </c>
      <c r="N32" s="818"/>
      <c r="O32" s="818"/>
    </row>
    <row r="33" spans="5:15" x14ac:dyDescent="0.2">
      <c r="L33" s="77" t="s">
        <v>243</v>
      </c>
      <c r="M33" s="818">
        <f>IF(CAIXA.Modo,BM!X70,DADOS!C53)</f>
        <v>0</v>
      </c>
      <c r="N33" s="818"/>
      <c r="O33" s="818"/>
    </row>
    <row r="34" spans="5:15" x14ac:dyDescent="0.2">
      <c r="L34" s="77" t="str">
        <f>IF(CAIXA.Modo,"","ART/RRT:")</f>
        <v>ART/RRT:</v>
      </c>
      <c r="M34" s="12">
        <f>IF(CAIXA.Modo,"",DADOS!C54)</f>
        <v>0</v>
      </c>
    </row>
    <row r="36" spans="5:15" x14ac:dyDescent="0.2">
      <c r="E36" s="180"/>
      <c r="F36" s="180"/>
      <c r="G36" s="180"/>
      <c r="L36" s="180"/>
      <c r="M36" s="180"/>
      <c r="N36" s="180"/>
      <c r="O36" s="180"/>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7" t="s">
        <v>240</v>
      </c>
      <c r="F38" s="817"/>
      <c r="G38" s="817"/>
      <c r="L38" s="77" t="s">
        <v>240</v>
      </c>
      <c r="M38" s="817"/>
      <c r="N38" s="817"/>
      <c r="O38" s="817"/>
    </row>
    <row r="39" spans="5:15" x14ac:dyDescent="0.2">
      <c r="E39" s="77" t="str">
        <f>IF(CAIXA.Modo,"Função:","Cargo:")</f>
        <v>Cargo:</v>
      </c>
      <c r="F39" s="817"/>
      <c r="G39" s="817"/>
      <c r="L39" s="77" t="str">
        <f>IF(CAIXA.Modo,"Função:","Cargo:")</f>
        <v>Cargo:</v>
      </c>
      <c r="M39" s="817"/>
      <c r="N39" s="817"/>
      <c r="O39" s="817"/>
    </row>
    <row r="40" spans="5:15" x14ac:dyDescent="0.2">
      <c r="E40" s="77" t="str">
        <f>IF(CAIXA.Modo,"Matr:","")</f>
        <v/>
      </c>
      <c r="F40" s="817"/>
      <c r="G40" s="817"/>
      <c r="L40" s="77" t="str">
        <f>IF(CAIXA.Modo,"Matrícula:","")</f>
        <v/>
      </c>
      <c r="M40" s="817"/>
      <c r="N40" s="817"/>
      <c r="O40" s="817"/>
    </row>
  </sheetData>
  <sheetProtection algorithmName="SHA-512" hashValue="3VOvtnXz1P8wuD1tTM6oCneVnMobP8ngv6M5GIc3kwt3QddLcfKne/sG7Y0Dku0KK1kMTj0W8UMFU083my5Jug==" saltValue="3lONGBnLgNW00NMklPqBuQ==" spinCount="100000" sheet="1" objects="1" scenarios="1" autoFilter="0"/>
  <autoFilter ref="D13:D21" xr:uid="{00000000-0009-0000-0000-00000C000000}"/>
  <mergeCells count="4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 ref="J18:K18"/>
    <mergeCell ref="J19:K19"/>
    <mergeCell ref="O20:P20"/>
    <mergeCell ref="M39:O39"/>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X14:Z14">
    <cfRule type="expression" dxfId="43" priority="482" stopIfTrue="1">
      <formula>OR($C12="Automático",$C12="Branco")</formula>
    </cfRule>
  </conditionalFormatting>
  <conditionalFormatting sqref="F40:G40 M40:O40">
    <cfRule type="expression" dxfId="42" priority="483" stopIfTrue="1">
      <formula>CAIXA.Modo=FALSE</formula>
    </cfRule>
  </conditionalFormatting>
  <conditionalFormatting sqref="M12 M16:M19 O12 O16:O19 M14 O14">
    <cfRule type="cellIs" dxfId="41" priority="484" stopIfTrue="1" operator="notBetween">
      <formula>0</formula>
      <formula>$L12</formula>
    </cfRule>
  </conditionalFormatting>
  <conditionalFormatting sqref="M10:N10">
    <cfRule type="cellIs" dxfId="40" priority="485" stopIfTrue="1" operator="lessThan">
      <formula>0</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1"/>
      <c r="C1" s="851"/>
      <c r="D1" s="49"/>
      <c r="E1" s="49"/>
      <c r="F1" s="49"/>
      <c r="G1" s="52" t="s">
        <v>644</v>
      </c>
    </row>
    <row r="2" spans="2:13" x14ac:dyDescent="0.2">
      <c r="B2" s="851"/>
      <c r="C2" s="851"/>
      <c r="D2" s="49"/>
      <c r="E2" s="49"/>
      <c r="F2" s="49"/>
      <c r="G2" s="11" t="s">
        <v>895</v>
      </c>
    </row>
    <row r="3" spans="2:13" ht="26.1" customHeight="1" x14ac:dyDescent="0.2">
      <c r="B3" s="851"/>
      <c r="C3" s="851"/>
      <c r="D3" s="49"/>
      <c r="E3" s="49"/>
      <c r="F3" s="49"/>
      <c r="G3" s="393"/>
    </row>
    <row r="4" spans="2:13" ht="12.75" customHeight="1" x14ac:dyDescent="0.2">
      <c r="B4" s="851"/>
      <c r="C4" s="851"/>
      <c r="D4" s="49"/>
      <c r="E4" s="49"/>
      <c r="F4" s="49"/>
      <c r="G4" s="49"/>
    </row>
    <row r="5" spans="2:13" x14ac:dyDescent="0.2">
      <c r="C5" s="571" t="str">
        <f>IF(Import.Ofício.Num=0,"Preencher o número do Ofício","")</f>
        <v>Preencher o número do Ofício</v>
      </c>
    </row>
    <row r="6" spans="2:13" x14ac:dyDescent="0.2">
      <c r="B6" s="394" t="s">
        <v>896</v>
      </c>
      <c r="C6" s="848"/>
      <c r="D6" s="848"/>
      <c r="E6" s="394"/>
      <c r="F6" s="394"/>
      <c r="G6" s="49"/>
      <c r="J6" s="9"/>
    </row>
    <row r="7" spans="2:13" x14ac:dyDescent="0.2">
      <c r="B7" s="49"/>
      <c r="C7" s="49"/>
      <c r="D7" s="49"/>
      <c r="E7" s="49"/>
      <c r="F7" s="49"/>
      <c r="G7" s="49"/>
    </row>
    <row r="8" spans="2:13" x14ac:dyDescent="0.2">
      <c r="B8" s="849" t="str">
        <f>CONCATENATE(RRE!$E$26,", ",TEXT(RRE!$L$26,"dd"" de ""mmmm"" de ""aaaa"))</f>
        <v>PILAR DO SUL, 00 de janeiro de 1900</v>
      </c>
      <c r="C8" s="849"/>
      <c r="D8" s="849"/>
      <c r="E8" s="849"/>
      <c r="F8" s="849"/>
      <c r="G8" s="849"/>
      <c r="H8" s="395"/>
      <c r="J8" s="395"/>
      <c r="K8" s="395"/>
      <c r="L8" s="395"/>
      <c r="M8" s="395"/>
    </row>
    <row r="9" spans="2:13" x14ac:dyDescent="0.2">
      <c r="B9" s="396" t="s">
        <v>897</v>
      </c>
      <c r="C9" s="49"/>
      <c r="D9" s="49"/>
      <c r="G9" s="49"/>
      <c r="H9" s="395"/>
      <c r="J9" s="395"/>
      <c r="K9" s="395"/>
      <c r="L9" s="395"/>
      <c r="M9" s="395"/>
    </row>
    <row r="10" spans="2:13" x14ac:dyDescent="0.2">
      <c r="B10" s="850" t="s">
        <v>898</v>
      </c>
      <c r="C10" s="850"/>
      <c r="D10" s="850"/>
      <c r="G10" s="49"/>
      <c r="H10" s="395"/>
      <c r="J10" s="395"/>
      <c r="K10" s="395"/>
      <c r="L10" s="395"/>
      <c r="M10" s="395"/>
    </row>
    <row r="11" spans="2:13" x14ac:dyDescent="0.2">
      <c r="B11" s="397" t="s">
        <v>899</v>
      </c>
      <c r="C11" s="817"/>
      <c r="D11" s="817"/>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0" t="str" cm="1">
        <f t="array" aca="1" ref="C14" ca="1">CONCATENATE(RRE.Numero,"ª"," Solicitação de ",IF(import.recurso="OGU","Desbloqueio","Desembolso")," de Recursos.")</f>
        <v>1ª Solicitação de Desbloqueio de Recursos.</v>
      </c>
      <c r="D14" s="850"/>
      <c r="E14" s="850"/>
      <c r="F14" s="850"/>
      <c r="G14" s="850"/>
    </row>
    <row r="15" spans="2:13" ht="12.75" customHeight="1" x14ac:dyDescent="0.2">
      <c r="B15" s="396" t="s">
        <v>901</v>
      </c>
      <c r="C15" s="856" t="str">
        <f>CONCATENATE("Contrato de ",IF(import.recurso="OGU","Repasse","Financiamento")," - Operação nº ",Import.CR,IF(Import.TransfereGOV="","",CONCATENATE(" - TransfereGOV nº ",Import.TransfereGOV)))</f>
        <v>Contrato de Repasse - Operação nº 1101329-56 - TransfereGOV nº 11213/2025</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2" t="str">
        <f>Import.DescLote</f>
        <v>QUALIFICAÇÃO VIÁRIA COM EXECUÇÃO DE RECAPEAMENTO ASFÁLTICO EM RUAS DO MUNICÍPIO DE PILAR DO SUL</v>
      </c>
      <c r="D18" s="852"/>
      <c r="E18" s="852"/>
      <c r="F18" s="852"/>
      <c r="G18" s="852"/>
    </row>
    <row r="19" spans="2:7" ht="12.75" customHeight="1" x14ac:dyDescent="0.2">
      <c r="B19" s="854" t="s">
        <v>903</v>
      </c>
      <c r="C19" s="855" t="str">
        <f>Import.Proponente</f>
        <v>PREFEITURA MUNICIPAL DE PILAR DO SUL</v>
      </c>
      <c r="D19" s="855"/>
      <c r="E19" s="855"/>
      <c r="F19" s="855"/>
      <c r="G19" s="855"/>
    </row>
    <row r="20" spans="2:7" x14ac:dyDescent="0.2">
      <c r="B20" s="854"/>
      <c r="C20" s="855"/>
      <c r="D20" s="855"/>
      <c r="E20" s="855"/>
      <c r="F20" s="855"/>
      <c r="G20" s="855"/>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2"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2"/>
      <c r="D24" s="852"/>
      <c r="E24" s="852"/>
      <c r="F24" s="852"/>
      <c r="G24" s="852"/>
    </row>
    <row r="25" spans="2:7" x14ac:dyDescent="0.2">
      <c r="B25" s="852"/>
      <c r="C25" s="852"/>
      <c r="D25" s="852"/>
      <c r="E25" s="852"/>
      <c r="F25" s="852"/>
      <c r="G25" s="852"/>
    </row>
    <row r="26" spans="2:7" x14ac:dyDescent="0.2">
      <c r="B26" s="852"/>
      <c r="C26" s="852"/>
      <c r="D26" s="852"/>
      <c r="E26" s="852"/>
      <c r="F26" s="852"/>
      <c r="G26" s="852"/>
    </row>
    <row r="27" spans="2:7" x14ac:dyDescent="0.2">
      <c r="B27" s="49"/>
      <c r="C27" s="49"/>
      <c r="D27" s="49"/>
      <c r="E27" s="49"/>
      <c r="F27" s="49"/>
      <c r="G27" s="49"/>
    </row>
    <row r="28" spans="2:7" ht="12.75" customHeight="1" x14ac:dyDescent="0.2">
      <c r="B28" s="853"/>
      <c r="C28" s="853"/>
      <c r="D28" s="857" t="s">
        <v>904</v>
      </c>
      <c r="E28" s="857" t="str" cm="1">
        <f t="array" aca="1" ref="E28" ca="1">"Evolução da "&amp;RRE.Numero&amp;"ª Medição"</f>
        <v>Evolução da 1ª Medição</v>
      </c>
      <c r="F28" s="858" t="s">
        <v>905</v>
      </c>
      <c r="G28" s="858"/>
    </row>
    <row r="29" spans="2:7" x14ac:dyDescent="0.2">
      <c r="B29" s="853"/>
      <c r="C29" s="853"/>
      <c r="D29" s="857"/>
      <c r="E29" s="857"/>
      <c r="F29" s="858"/>
      <c r="G29" s="858"/>
    </row>
    <row r="30" spans="2:7" x14ac:dyDescent="0.2">
      <c r="B30" s="859" t="str">
        <f>IF(import.recurso="FGTS","Financiamento:","Repasse:")</f>
        <v>Repasse:</v>
      </c>
      <c r="C30" s="859"/>
      <c r="D30" s="399">
        <f ca="1">RRE!L16</f>
        <v>960019.00000000012</v>
      </c>
      <c r="E30" s="399">
        <f ca="1">RRE!N16</f>
        <v>0</v>
      </c>
      <c r="F30" s="860">
        <f ca="1">RRE!O16</f>
        <v>0</v>
      </c>
      <c r="G30" s="860"/>
    </row>
    <row r="31" spans="2:7" x14ac:dyDescent="0.2">
      <c r="B31" s="859" t="s">
        <v>906</v>
      </c>
      <c r="C31" s="859"/>
      <c r="D31" s="399">
        <f ca="1">RRE!L17</f>
        <v>121667.62</v>
      </c>
      <c r="E31" s="399">
        <f ca="1">RRE!N17</f>
        <v>0</v>
      </c>
      <c r="F31" s="860">
        <f ca="1">RRE!O17</f>
        <v>0</v>
      </c>
      <c r="G31" s="860"/>
    </row>
    <row r="32" spans="2:7" x14ac:dyDescent="0.2">
      <c r="B32" s="859" t="s">
        <v>801</v>
      </c>
      <c r="C32" s="859"/>
      <c r="D32" s="399">
        <f ca="1">RRE!L18</f>
        <v>0</v>
      </c>
      <c r="E32" s="399">
        <f ca="1">RRE!N18</f>
        <v>0</v>
      </c>
      <c r="F32" s="860">
        <f ca="1">RRE!O18</f>
        <v>0</v>
      </c>
      <c r="G32" s="860"/>
    </row>
    <row r="33" spans="2:7" x14ac:dyDescent="0.2">
      <c r="B33" s="859" t="s">
        <v>802</v>
      </c>
      <c r="C33" s="859"/>
      <c r="D33" s="399">
        <f ca="1">RRE!L19</f>
        <v>1081686.6200000001</v>
      </c>
      <c r="E33" s="399">
        <f ca="1">RRE!N19</f>
        <v>0</v>
      </c>
      <c r="F33" s="860">
        <f ca="1">RRE!O19</f>
        <v>0</v>
      </c>
      <c r="G33" s="860"/>
    </row>
    <row r="34" spans="2:7" x14ac:dyDescent="0.2">
      <c r="B34" s="863" t="s">
        <v>907</v>
      </c>
      <c r="C34" s="863"/>
      <c r="D34" s="400" t="s">
        <v>688</v>
      </c>
      <c r="E34" s="401">
        <f ca="1">RRE!$N$19/(RRE!$L$19+10^-12)</f>
        <v>0</v>
      </c>
      <c r="F34" s="864">
        <f ca="1">RRE!P15</f>
        <v>0</v>
      </c>
      <c r="G34" s="864"/>
    </row>
    <row r="35" spans="2:7" x14ac:dyDescent="0.2">
      <c r="B35" s="181"/>
      <c r="C35" s="49"/>
      <c r="D35" s="49"/>
      <c r="E35" s="49"/>
      <c r="F35" s="49"/>
      <c r="G35" s="49"/>
    </row>
    <row r="36" spans="2:7" x14ac:dyDescent="0.2">
      <c r="B36" s="181"/>
      <c r="C36" s="181"/>
      <c r="D36" s="181"/>
      <c r="E36" s="181"/>
      <c r="F36" s="181"/>
      <c r="G36" s="49"/>
    </row>
    <row r="37" spans="2:7" x14ac:dyDescent="0.2">
      <c r="B37" s="865" t="str" cm="1">
        <f t="array" aca="1" ref="B37" ca="1">IF(RRE.Numero&gt;1,"2. Encaminhamos ainda a documentação relativa à prestação de contas da etapa físico-financeira anterior.","")</f>
        <v/>
      </c>
      <c r="C37" s="865"/>
      <c r="D37" s="865"/>
      <c r="E37" s="865"/>
      <c r="F37" s="865"/>
      <c r="G37" s="865"/>
    </row>
    <row r="38" spans="2:7" x14ac:dyDescent="0.2">
      <c r="B38" s="865"/>
      <c r="C38" s="865"/>
      <c r="D38" s="865"/>
      <c r="E38" s="865"/>
      <c r="F38" s="865"/>
      <c r="G38" s="865"/>
    </row>
    <row r="39" spans="2:7" ht="12.75" customHeight="1" x14ac:dyDescent="0.2">
      <c r="B39" s="865" t="str" cm="1">
        <f t="array" aca="1" ref="B39" ca="1">IF(AND(RRE.Numero&gt;1,NOT(ISBLANK(Import.TransfereGOV))),"3. Na oportunidade, informamos que a execução financeira da parcela anterior está devidamente comprovada no TransfereGOV.","")</f>
        <v/>
      </c>
      <c r="C39" s="865"/>
      <c r="D39" s="865"/>
      <c r="E39" s="865"/>
      <c r="F39" s="865"/>
      <c r="G39" s="865"/>
    </row>
    <row r="40" spans="2:7" x14ac:dyDescent="0.2">
      <c r="B40" s="865"/>
      <c r="C40" s="865"/>
      <c r="D40" s="865"/>
      <c r="E40" s="865"/>
      <c r="F40" s="865"/>
      <c r="G40" s="865"/>
    </row>
    <row r="41" spans="2:7" x14ac:dyDescent="0.2">
      <c r="B41" s="402"/>
      <c r="C41" s="397"/>
      <c r="D41" s="397"/>
      <c r="E41" s="397"/>
      <c r="F41" s="397"/>
      <c r="G41" s="397"/>
    </row>
    <row r="42" spans="2:7" ht="12.75" customHeight="1" x14ac:dyDescent="0.2">
      <c r="B42" s="865"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5"/>
      <c r="D42" s="865"/>
      <c r="E42" s="865"/>
      <c r="F42" s="865"/>
      <c r="G42" s="865"/>
    </row>
    <row r="43" spans="2:7" x14ac:dyDescent="0.2">
      <c r="B43" s="865"/>
      <c r="C43" s="865"/>
      <c r="D43" s="865"/>
      <c r="E43" s="865"/>
      <c r="F43" s="865"/>
      <c r="G43" s="865"/>
    </row>
    <row r="44" spans="2:7" x14ac:dyDescent="0.2">
      <c r="B44" s="865"/>
      <c r="C44" s="865"/>
      <c r="D44" s="865"/>
      <c r="E44" s="865"/>
      <c r="F44" s="865"/>
      <c r="G44" s="865"/>
    </row>
    <row r="45" spans="2:7" x14ac:dyDescent="0.2">
      <c r="B45" s="865"/>
      <c r="C45" s="865"/>
      <c r="D45" s="865"/>
      <c r="E45" s="865"/>
      <c r="F45" s="865"/>
      <c r="G45" s="865"/>
    </row>
    <row r="46" spans="2:7" x14ac:dyDescent="0.2">
      <c r="B46" s="865"/>
      <c r="C46" s="865"/>
      <c r="D46" s="865"/>
      <c r="E46" s="865"/>
      <c r="F46" s="865"/>
      <c r="G46" s="865"/>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61" t="str">
        <f>DADOS!$C$28</f>
        <v>CLAYTON ÁLVARO MACHADO</v>
      </c>
      <c r="C54" s="861"/>
      <c r="D54" s="861"/>
      <c r="E54" s="861"/>
      <c r="F54" s="861"/>
      <c r="G54" s="861"/>
    </row>
    <row r="55" spans="2:7" x14ac:dyDescent="0.2">
      <c r="B55" s="861" t="str">
        <f>DADOS!$C$29</f>
        <v>PREFEITO MUNICIPAL DE PILAR DO SUL</v>
      </c>
      <c r="C55" s="861"/>
      <c r="D55" s="861"/>
      <c r="E55" s="861"/>
      <c r="F55" s="861"/>
      <c r="G55" s="861"/>
    </row>
    <row r="56" spans="2:7" x14ac:dyDescent="0.2">
      <c r="B56" s="862"/>
      <c r="C56" s="862"/>
      <c r="D56" s="862"/>
      <c r="E56" s="862"/>
      <c r="F56" s="862"/>
      <c r="G56" s="862"/>
    </row>
  </sheetData>
  <sheetProtection algorithmName="SHA-512" hashValue="MpUq2HAR0t2wr/dsBYSawSIRE7co30WKko10LCXy8kbYE/YdUy9yE2bXRoCfgeR42ESQYrbJ2wSyL+0eUHLeGw==" saltValue="fciFG8BOGHpTLku8gXoAcg=="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40"/>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6" t="s">
        <v>929</v>
      </c>
      <c r="B2" s="667" t="s">
        <v>1084</v>
      </c>
      <c r="C2" s="666"/>
      <c r="D2" s="666"/>
      <c r="E2" s="666" t="s">
        <v>1010</v>
      </c>
      <c r="F2" s="668"/>
      <c r="G2" s="666"/>
      <c r="H2" s="669"/>
      <c r="I2" s="669"/>
      <c r="J2" s="670"/>
      <c r="K2" s="671"/>
      <c r="L2" s="672">
        <f>12905.96</f>
        <v>12905.96</v>
      </c>
      <c r="M2" s="666"/>
      <c r="N2" s="673"/>
      <c r="O2" s="666"/>
      <c r="P2" s="673"/>
      <c r="Q2" s="666"/>
      <c r="R2" s="674"/>
      <c r="S2" s="671"/>
    </row>
    <row r="3" spans="1:19" ht="45" customHeight="1" x14ac:dyDescent="0.25">
      <c r="A3" s="666" t="s">
        <v>705</v>
      </c>
      <c r="B3" s="667" t="s">
        <v>1085</v>
      </c>
      <c r="C3" s="666" t="s">
        <v>750</v>
      </c>
      <c r="D3" s="666" t="s">
        <v>1007</v>
      </c>
      <c r="E3" s="666" t="s">
        <v>1086</v>
      </c>
      <c r="F3" s="668">
        <f>2.88</f>
        <v>2.88</v>
      </c>
      <c r="G3" s="666" t="s">
        <v>623</v>
      </c>
      <c r="H3" s="669">
        <v>471.44</v>
      </c>
      <c r="I3" s="669">
        <v>471.44</v>
      </c>
      <c r="J3" s="670" t="s">
        <v>1087</v>
      </c>
      <c r="K3" s="671">
        <f>586.14</f>
        <v>586.14</v>
      </c>
      <c r="L3" s="672">
        <f>1688.08</f>
        <v>1688.08</v>
      </c>
      <c r="M3" s="666"/>
      <c r="N3" s="673">
        <v>1</v>
      </c>
      <c r="O3" s="666" t="s">
        <v>1010</v>
      </c>
      <c r="P3" s="673">
        <v>1</v>
      </c>
      <c r="Q3" s="666">
        <v>1</v>
      </c>
      <c r="R3" s="674">
        <v>2.88</v>
      </c>
      <c r="S3" s="671">
        <f>1688.08</f>
        <v>1688.08</v>
      </c>
    </row>
    <row r="4" spans="1:19" ht="45" customHeight="1" x14ac:dyDescent="0.25">
      <c r="A4" s="666" t="s">
        <v>705</v>
      </c>
      <c r="B4" s="667" t="s">
        <v>1088</v>
      </c>
      <c r="C4" s="666" t="s">
        <v>871</v>
      </c>
      <c r="D4" s="666" t="s">
        <v>1089</v>
      </c>
      <c r="E4" s="666" t="s">
        <v>1023</v>
      </c>
      <c r="F4" s="668">
        <f>2</f>
        <v>2</v>
      </c>
      <c r="G4" s="666" t="s">
        <v>639</v>
      </c>
      <c r="H4" s="669">
        <v>0</v>
      </c>
      <c r="I4" s="669">
        <v>3262</v>
      </c>
      <c r="J4" s="670" t="s">
        <v>1087</v>
      </c>
      <c r="K4" s="671">
        <f>4055.64</f>
        <v>4055.64</v>
      </c>
      <c r="L4" s="672">
        <f>8111.28</f>
        <v>8111.28</v>
      </c>
      <c r="M4" s="666"/>
      <c r="N4" s="673">
        <v>1</v>
      </c>
      <c r="O4" s="666" t="s">
        <v>1010</v>
      </c>
      <c r="P4" s="673">
        <v>1</v>
      </c>
      <c r="Q4" s="666">
        <v>1</v>
      </c>
      <c r="R4" s="674">
        <v>2</v>
      </c>
      <c r="S4" s="671">
        <f>8111.28</f>
        <v>8111.28</v>
      </c>
    </row>
    <row r="5" spans="1:19" ht="45" customHeight="1" x14ac:dyDescent="0.25">
      <c r="A5" s="666" t="s">
        <v>705</v>
      </c>
      <c r="B5" s="667" t="s">
        <v>1090</v>
      </c>
      <c r="C5" s="666" t="s">
        <v>871</v>
      </c>
      <c r="D5" s="666" t="s">
        <v>1091</v>
      </c>
      <c r="E5" s="666" t="s">
        <v>1041</v>
      </c>
      <c r="F5" s="668">
        <f>2</f>
        <v>2</v>
      </c>
      <c r="G5" s="666" t="s">
        <v>1042</v>
      </c>
      <c r="H5" s="669">
        <v>0</v>
      </c>
      <c r="I5" s="669">
        <v>1249.3399999999999</v>
      </c>
      <c r="J5" s="670" t="s">
        <v>1087</v>
      </c>
      <c r="K5" s="671">
        <f>1553.3</f>
        <v>1553.3</v>
      </c>
      <c r="L5" s="672">
        <f>3106.6</f>
        <v>3106.6</v>
      </c>
      <c r="M5" s="666"/>
      <c r="N5" s="673">
        <v>1</v>
      </c>
      <c r="O5" s="666" t="s">
        <v>1010</v>
      </c>
      <c r="P5" s="673">
        <v>1</v>
      </c>
      <c r="Q5" s="666">
        <v>1</v>
      </c>
      <c r="R5" s="674">
        <v>2</v>
      </c>
      <c r="S5" s="671">
        <f>3106.6</f>
        <v>3106.6</v>
      </c>
    </row>
    <row r="6" spans="1:19" ht="45" customHeight="1" x14ac:dyDescent="0.25">
      <c r="A6" s="666" t="s">
        <v>929</v>
      </c>
      <c r="B6" s="667" t="s">
        <v>1092</v>
      </c>
      <c r="C6" s="666"/>
      <c r="D6" s="666"/>
      <c r="E6" s="666" t="s">
        <v>1024</v>
      </c>
      <c r="F6" s="668"/>
      <c r="G6" s="666"/>
      <c r="H6" s="669"/>
      <c r="I6" s="669"/>
      <c r="J6" s="670"/>
      <c r="K6" s="671"/>
      <c r="L6" s="672">
        <f>108695.09</f>
        <v>108695.09</v>
      </c>
      <c r="M6" s="666"/>
      <c r="N6" s="673"/>
      <c r="O6" s="666"/>
      <c r="P6" s="673"/>
      <c r="Q6" s="666"/>
      <c r="R6" s="674"/>
      <c r="S6" s="671"/>
    </row>
    <row r="7" spans="1:19" ht="45" customHeight="1" x14ac:dyDescent="0.25">
      <c r="A7" s="666" t="s">
        <v>705</v>
      </c>
      <c r="B7" s="667" t="s">
        <v>1093</v>
      </c>
      <c r="C7" s="666" t="s">
        <v>750</v>
      </c>
      <c r="D7" s="666" t="s">
        <v>1025</v>
      </c>
      <c r="E7" s="666" t="s">
        <v>1094</v>
      </c>
      <c r="F7" s="668">
        <f>212.27</f>
        <v>212.27</v>
      </c>
      <c r="G7" s="666" t="s">
        <v>625</v>
      </c>
      <c r="H7" s="669">
        <v>10.09</v>
      </c>
      <c r="I7" s="669">
        <v>10.09</v>
      </c>
      <c r="J7" s="670" t="s">
        <v>1087</v>
      </c>
      <c r="K7" s="671">
        <f>12.54</f>
        <v>12.54</v>
      </c>
      <c r="L7" s="672">
        <f>2661.87</f>
        <v>2661.87</v>
      </c>
      <c r="M7" s="666"/>
      <c r="N7" s="673">
        <v>2</v>
      </c>
      <c r="O7" s="666" t="s">
        <v>1024</v>
      </c>
      <c r="P7" s="673">
        <v>1</v>
      </c>
      <c r="Q7" s="666">
        <v>1</v>
      </c>
      <c r="R7" s="674">
        <v>212.27</v>
      </c>
      <c r="S7" s="671">
        <f>2661.87</f>
        <v>2661.87</v>
      </c>
    </row>
    <row r="8" spans="1:19" ht="45" customHeight="1" x14ac:dyDescent="0.25">
      <c r="A8" s="666" t="s">
        <v>705</v>
      </c>
      <c r="B8" s="667" t="s">
        <v>1095</v>
      </c>
      <c r="C8" s="666" t="s">
        <v>750</v>
      </c>
      <c r="D8" s="666" t="s">
        <v>1026</v>
      </c>
      <c r="E8" s="666" t="s">
        <v>1096</v>
      </c>
      <c r="F8" s="668">
        <f>6</f>
        <v>6</v>
      </c>
      <c r="G8" s="666" t="s">
        <v>639</v>
      </c>
      <c r="H8" s="669">
        <v>2829.29</v>
      </c>
      <c r="I8" s="669">
        <v>2829.29</v>
      </c>
      <c r="J8" s="670" t="s">
        <v>1087</v>
      </c>
      <c r="K8" s="671">
        <f>3517.66</f>
        <v>3517.66</v>
      </c>
      <c r="L8" s="672">
        <f>21105.96</f>
        <v>21105.96</v>
      </c>
      <c r="M8" s="666"/>
      <c r="N8" s="673">
        <v>2</v>
      </c>
      <c r="O8" s="666" t="s">
        <v>1024</v>
      </c>
      <c r="P8" s="673">
        <v>1</v>
      </c>
      <c r="Q8" s="666">
        <v>1</v>
      </c>
      <c r="R8" s="674">
        <v>6</v>
      </c>
      <c r="S8" s="671">
        <f>21105.96</f>
        <v>21105.96</v>
      </c>
    </row>
    <row r="9" spans="1:19" ht="45" customHeight="1" x14ac:dyDescent="0.25">
      <c r="A9" s="666" t="s">
        <v>705</v>
      </c>
      <c r="B9" s="667" t="s">
        <v>1097</v>
      </c>
      <c r="C9" s="666" t="s">
        <v>750</v>
      </c>
      <c r="D9" s="666" t="s">
        <v>1081</v>
      </c>
      <c r="E9" s="666" t="s">
        <v>1098</v>
      </c>
      <c r="F9" s="668">
        <f>2</f>
        <v>2</v>
      </c>
      <c r="G9" s="666" t="s">
        <v>639</v>
      </c>
      <c r="H9" s="669">
        <v>3435.32</v>
      </c>
      <c r="I9" s="669">
        <v>3435.32</v>
      </c>
      <c r="J9" s="670" t="s">
        <v>1087</v>
      </c>
      <c r="K9" s="671">
        <f>4271.13</f>
        <v>4271.13</v>
      </c>
      <c r="L9" s="672">
        <f>8542.26</f>
        <v>8542.26</v>
      </c>
      <c r="M9" s="666"/>
      <c r="N9" s="673">
        <v>2</v>
      </c>
      <c r="O9" s="666" t="s">
        <v>1024</v>
      </c>
      <c r="P9" s="673">
        <v>1</v>
      </c>
      <c r="Q9" s="666">
        <v>1</v>
      </c>
      <c r="R9" s="674">
        <v>2</v>
      </c>
      <c r="S9" s="671">
        <f>8542.26</f>
        <v>8542.26</v>
      </c>
    </row>
    <row r="10" spans="1:19" ht="45" customHeight="1" x14ac:dyDescent="0.25">
      <c r="A10" s="666" t="s">
        <v>705</v>
      </c>
      <c r="B10" s="667" t="s">
        <v>1099</v>
      </c>
      <c r="C10" s="666" t="s">
        <v>750</v>
      </c>
      <c r="D10" s="666" t="s">
        <v>1027</v>
      </c>
      <c r="E10" s="666" t="s">
        <v>1100</v>
      </c>
      <c r="F10" s="668">
        <f>120</f>
        <v>120</v>
      </c>
      <c r="G10" s="666" t="s">
        <v>621</v>
      </c>
      <c r="H10" s="669">
        <v>187.76</v>
      </c>
      <c r="I10" s="669">
        <v>187.76</v>
      </c>
      <c r="J10" s="670" t="s">
        <v>1087</v>
      </c>
      <c r="K10" s="671">
        <f>233.44</f>
        <v>233.44</v>
      </c>
      <c r="L10" s="672">
        <f>28012.8</f>
        <v>28012.799999999999</v>
      </c>
      <c r="M10" s="666"/>
      <c r="N10" s="673">
        <v>2</v>
      </c>
      <c r="O10" s="666" t="s">
        <v>1024</v>
      </c>
      <c r="P10" s="673">
        <v>1</v>
      </c>
      <c r="Q10" s="666">
        <v>1</v>
      </c>
      <c r="R10" s="674">
        <v>120</v>
      </c>
      <c r="S10" s="671">
        <f>28012.8</f>
        <v>28012.799999999999</v>
      </c>
    </row>
    <row r="11" spans="1:19" ht="45" customHeight="1" x14ac:dyDescent="0.25">
      <c r="A11" s="666" t="s">
        <v>705</v>
      </c>
      <c r="B11" s="667" t="s">
        <v>1101</v>
      </c>
      <c r="C11" s="666" t="s">
        <v>750</v>
      </c>
      <c r="D11" s="666" t="s">
        <v>1028</v>
      </c>
      <c r="E11" s="666" t="s">
        <v>1102</v>
      </c>
      <c r="F11" s="668">
        <f>47.41</f>
        <v>47.41</v>
      </c>
      <c r="G11" s="666" t="s">
        <v>621</v>
      </c>
      <c r="H11" s="669">
        <v>347.38</v>
      </c>
      <c r="I11" s="669">
        <v>347.38</v>
      </c>
      <c r="J11" s="670" t="s">
        <v>1087</v>
      </c>
      <c r="K11" s="671">
        <f>431.9</f>
        <v>431.9</v>
      </c>
      <c r="L11" s="672">
        <f>20476.38</f>
        <v>20476.38</v>
      </c>
      <c r="M11" s="666"/>
      <c r="N11" s="673">
        <v>2</v>
      </c>
      <c r="O11" s="666" t="s">
        <v>1024</v>
      </c>
      <c r="P11" s="673">
        <v>1</v>
      </c>
      <c r="Q11" s="666">
        <v>1</v>
      </c>
      <c r="R11" s="674">
        <v>47.41</v>
      </c>
      <c r="S11" s="671">
        <f>20476.38</f>
        <v>20476.38</v>
      </c>
    </row>
    <row r="12" spans="1:19" ht="45" customHeight="1" x14ac:dyDescent="0.25">
      <c r="A12" s="666" t="s">
        <v>705</v>
      </c>
      <c r="B12" s="667" t="s">
        <v>1103</v>
      </c>
      <c r="C12" s="666" t="s">
        <v>750</v>
      </c>
      <c r="D12" s="666" t="s">
        <v>1029</v>
      </c>
      <c r="E12" s="666" t="s">
        <v>1104</v>
      </c>
      <c r="F12" s="668">
        <f>166.65</f>
        <v>166.65</v>
      </c>
      <c r="G12" s="666" t="s">
        <v>625</v>
      </c>
      <c r="H12" s="669">
        <v>33.950000000000003</v>
      </c>
      <c r="I12" s="669">
        <v>33.950000000000003</v>
      </c>
      <c r="J12" s="670" t="s">
        <v>1087</v>
      </c>
      <c r="K12" s="671">
        <f>42.21</f>
        <v>42.21</v>
      </c>
      <c r="L12" s="672">
        <f>7034.3</f>
        <v>7034.3</v>
      </c>
      <c r="M12" s="666"/>
      <c r="N12" s="673">
        <v>2</v>
      </c>
      <c r="O12" s="666" t="s">
        <v>1024</v>
      </c>
      <c r="P12" s="673">
        <v>1</v>
      </c>
      <c r="Q12" s="666">
        <v>1</v>
      </c>
      <c r="R12" s="674">
        <v>166.65</v>
      </c>
      <c r="S12" s="671">
        <f>7034.3</f>
        <v>7034.3</v>
      </c>
    </row>
    <row r="13" spans="1:19" ht="45" customHeight="1" x14ac:dyDescent="0.25">
      <c r="A13" s="666" t="s">
        <v>705</v>
      </c>
      <c r="B13" s="667" t="s">
        <v>1105</v>
      </c>
      <c r="C13" s="666" t="s">
        <v>750</v>
      </c>
      <c r="D13" s="666" t="s">
        <v>1030</v>
      </c>
      <c r="E13" s="666" t="s">
        <v>1106</v>
      </c>
      <c r="F13" s="668">
        <f>7.84</f>
        <v>7.84</v>
      </c>
      <c r="G13" s="666" t="s">
        <v>625</v>
      </c>
      <c r="H13" s="669">
        <v>196.66</v>
      </c>
      <c r="I13" s="669">
        <v>196.66</v>
      </c>
      <c r="J13" s="670" t="s">
        <v>1087</v>
      </c>
      <c r="K13" s="671">
        <f>244.51</f>
        <v>244.51</v>
      </c>
      <c r="L13" s="672">
        <f>1916.96</f>
        <v>1916.96</v>
      </c>
      <c r="M13" s="666"/>
      <c r="N13" s="673">
        <v>2</v>
      </c>
      <c r="O13" s="666" t="s">
        <v>1024</v>
      </c>
      <c r="P13" s="673">
        <v>1</v>
      </c>
      <c r="Q13" s="666">
        <v>1</v>
      </c>
      <c r="R13" s="674">
        <v>7.84</v>
      </c>
      <c r="S13" s="671">
        <f>1916.96</f>
        <v>1916.96</v>
      </c>
    </row>
    <row r="14" spans="1:19" ht="45" customHeight="1" x14ac:dyDescent="0.25">
      <c r="A14" s="666" t="s">
        <v>705</v>
      </c>
      <c r="B14" s="667" t="s">
        <v>1107</v>
      </c>
      <c r="C14" s="666" t="s">
        <v>750</v>
      </c>
      <c r="D14" s="666" t="s">
        <v>1031</v>
      </c>
      <c r="E14" s="666" t="s">
        <v>1108</v>
      </c>
      <c r="F14" s="668">
        <f>80.36</f>
        <v>80.36</v>
      </c>
      <c r="G14" s="666" t="s">
        <v>621</v>
      </c>
      <c r="H14" s="669">
        <v>167.7</v>
      </c>
      <c r="I14" s="669">
        <v>167.7</v>
      </c>
      <c r="J14" s="670" t="s">
        <v>1087</v>
      </c>
      <c r="K14" s="671">
        <f>208.5</f>
        <v>208.5</v>
      </c>
      <c r="L14" s="672">
        <f>16755.06</f>
        <v>16755.060000000001</v>
      </c>
      <c r="M14" s="666"/>
      <c r="N14" s="673">
        <v>2</v>
      </c>
      <c r="O14" s="666" t="s">
        <v>1024</v>
      </c>
      <c r="P14" s="673">
        <v>1</v>
      </c>
      <c r="Q14" s="666">
        <v>1</v>
      </c>
      <c r="R14" s="674">
        <v>80.36</v>
      </c>
      <c r="S14" s="671">
        <f>16755.06</f>
        <v>16755.060000000001</v>
      </c>
    </row>
    <row r="15" spans="1:19" ht="45" customHeight="1" x14ac:dyDescent="0.25">
      <c r="A15" s="666" t="s">
        <v>705</v>
      </c>
      <c r="B15" s="667" t="s">
        <v>1109</v>
      </c>
      <c r="C15" s="666" t="s">
        <v>750</v>
      </c>
      <c r="D15" s="666" t="s">
        <v>1032</v>
      </c>
      <c r="E15" s="666" t="s">
        <v>1110</v>
      </c>
      <c r="F15" s="668">
        <f>118.93</f>
        <v>118.93</v>
      </c>
      <c r="G15" s="666" t="s">
        <v>617</v>
      </c>
      <c r="H15" s="669">
        <v>14.81</v>
      </c>
      <c r="I15" s="669">
        <v>14.81</v>
      </c>
      <c r="J15" s="670" t="s">
        <v>1087</v>
      </c>
      <c r="K15" s="671">
        <f>18.41</f>
        <v>18.41</v>
      </c>
      <c r="L15" s="672">
        <f>2189.5</f>
        <v>2189.5</v>
      </c>
      <c r="M15" s="666"/>
      <c r="N15" s="673">
        <v>2</v>
      </c>
      <c r="O15" s="666" t="s">
        <v>1024</v>
      </c>
      <c r="P15" s="673">
        <v>1</v>
      </c>
      <c r="Q15" s="666">
        <v>1</v>
      </c>
      <c r="R15" s="674">
        <v>118.93</v>
      </c>
      <c r="S15" s="671">
        <f>2189.5</f>
        <v>2189.5</v>
      </c>
    </row>
    <row r="16" spans="1:19" ht="45" customHeight="1" x14ac:dyDescent="0.25">
      <c r="A16" s="666" t="s">
        <v>929</v>
      </c>
      <c r="B16" s="667" t="s">
        <v>1111</v>
      </c>
      <c r="C16" s="666"/>
      <c r="D16" s="666"/>
      <c r="E16" s="666" t="s">
        <v>1043</v>
      </c>
      <c r="F16" s="668"/>
      <c r="G16" s="666"/>
      <c r="H16" s="669"/>
      <c r="I16" s="669"/>
      <c r="J16" s="670"/>
      <c r="K16" s="671"/>
      <c r="L16" s="672">
        <f>579709.03</f>
        <v>579709.03</v>
      </c>
      <c r="M16" s="666"/>
      <c r="N16" s="673"/>
      <c r="O16" s="666"/>
      <c r="P16" s="673"/>
      <c r="Q16" s="666"/>
      <c r="R16" s="674"/>
      <c r="S16" s="671"/>
    </row>
    <row r="17" spans="1:19" ht="45" customHeight="1" x14ac:dyDescent="0.25">
      <c r="A17" s="666" t="s">
        <v>705</v>
      </c>
      <c r="B17" s="667" t="s">
        <v>1112</v>
      </c>
      <c r="C17" s="666" t="s">
        <v>750</v>
      </c>
      <c r="D17" s="666" t="s">
        <v>1033</v>
      </c>
      <c r="E17" s="666" t="s">
        <v>1113</v>
      </c>
      <c r="F17" s="668">
        <f>1857.89</f>
        <v>1857.89</v>
      </c>
      <c r="G17" s="666" t="s">
        <v>623</v>
      </c>
      <c r="H17" s="669">
        <v>25.52</v>
      </c>
      <c r="I17" s="669">
        <v>25.52</v>
      </c>
      <c r="J17" s="670" t="s">
        <v>1087</v>
      </c>
      <c r="K17" s="671">
        <f>31.73</f>
        <v>31.73</v>
      </c>
      <c r="L17" s="672">
        <f>58950.85</f>
        <v>58950.85</v>
      </c>
      <c r="M17" s="666"/>
      <c r="N17" s="673">
        <v>3</v>
      </c>
      <c r="O17" s="666" t="s">
        <v>1043</v>
      </c>
      <c r="P17" s="673">
        <v>1</v>
      </c>
      <c r="Q17" s="666">
        <v>1</v>
      </c>
      <c r="R17" s="674">
        <v>1857.89</v>
      </c>
      <c r="S17" s="671">
        <f>58950.85</f>
        <v>58950.85</v>
      </c>
    </row>
    <row r="18" spans="1:19" ht="45" customHeight="1" x14ac:dyDescent="0.25">
      <c r="A18" s="666" t="s">
        <v>705</v>
      </c>
      <c r="B18" s="667" t="s">
        <v>1114</v>
      </c>
      <c r="C18" s="666" t="s">
        <v>750</v>
      </c>
      <c r="D18" s="666" t="s">
        <v>1025</v>
      </c>
      <c r="E18" s="666" t="s">
        <v>1094</v>
      </c>
      <c r="F18" s="668">
        <f>306.55</f>
        <v>306.55</v>
      </c>
      <c r="G18" s="666" t="s">
        <v>625</v>
      </c>
      <c r="H18" s="669">
        <v>10.09</v>
      </c>
      <c r="I18" s="669">
        <v>10.09</v>
      </c>
      <c r="J18" s="670" t="s">
        <v>1087</v>
      </c>
      <c r="K18" s="671">
        <f>12.54</f>
        <v>12.54</v>
      </c>
      <c r="L18" s="672">
        <f>3844.14</f>
        <v>3844.14</v>
      </c>
      <c r="M18" s="666"/>
      <c r="N18" s="673">
        <v>3</v>
      </c>
      <c r="O18" s="666" t="s">
        <v>1043</v>
      </c>
      <c r="P18" s="673">
        <v>1</v>
      </c>
      <c r="Q18" s="666">
        <v>1</v>
      </c>
      <c r="R18" s="674">
        <v>306.55</v>
      </c>
      <c r="S18" s="671">
        <f>3844.14</f>
        <v>3844.14</v>
      </c>
    </row>
    <row r="19" spans="1:19" ht="45" customHeight="1" x14ac:dyDescent="0.25">
      <c r="A19" s="666" t="s">
        <v>705</v>
      </c>
      <c r="B19" s="667" t="s">
        <v>1115</v>
      </c>
      <c r="C19" s="666" t="s">
        <v>750</v>
      </c>
      <c r="D19" s="666" t="s">
        <v>1071</v>
      </c>
      <c r="E19" s="666" t="s">
        <v>1116</v>
      </c>
      <c r="F19" s="668">
        <f>1857.89</f>
        <v>1857.89</v>
      </c>
      <c r="G19" s="666" t="s">
        <v>623</v>
      </c>
      <c r="H19" s="669">
        <v>3.08</v>
      </c>
      <c r="I19" s="669">
        <v>3.08</v>
      </c>
      <c r="J19" s="670" t="s">
        <v>1087</v>
      </c>
      <c r="K19" s="671">
        <f>3.83</f>
        <v>3.83</v>
      </c>
      <c r="L19" s="672">
        <f>7115.72</f>
        <v>7115.72</v>
      </c>
      <c r="M19" s="666"/>
      <c r="N19" s="673">
        <v>3</v>
      </c>
      <c r="O19" s="666" t="s">
        <v>1043</v>
      </c>
      <c r="P19" s="673">
        <v>1</v>
      </c>
      <c r="Q19" s="666">
        <v>1</v>
      </c>
      <c r="R19" s="674">
        <v>1857.89</v>
      </c>
      <c r="S19" s="671">
        <f>7115.72</f>
        <v>7115.72</v>
      </c>
    </row>
    <row r="20" spans="1:19" ht="45" customHeight="1" x14ac:dyDescent="0.25">
      <c r="A20" s="666" t="s">
        <v>705</v>
      </c>
      <c r="B20" s="667" t="s">
        <v>1117</v>
      </c>
      <c r="C20" s="666" t="s">
        <v>750</v>
      </c>
      <c r="D20" s="666" t="s">
        <v>1034</v>
      </c>
      <c r="E20" s="666" t="s">
        <v>1118</v>
      </c>
      <c r="F20" s="668">
        <f>306.55</f>
        <v>306.55</v>
      </c>
      <c r="G20" s="666" t="s">
        <v>625</v>
      </c>
      <c r="H20" s="669">
        <v>201.77</v>
      </c>
      <c r="I20" s="669">
        <v>201.77</v>
      </c>
      <c r="J20" s="670" t="s">
        <v>1087</v>
      </c>
      <c r="K20" s="671">
        <f>250.86</f>
        <v>250.86</v>
      </c>
      <c r="L20" s="672">
        <f>76901.13</f>
        <v>76901.13</v>
      </c>
      <c r="M20" s="666"/>
      <c r="N20" s="673">
        <v>3</v>
      </c>
      <c r="O20" s="666" t="s">
        <v>1043</v>
      </c>
      <c r="P20" s="673">
        <v>1</v>
      </c>
      <c r="Q20" s="666">
        <v>1</v>
      </c>
      <c r="R20" s="674">
        <v>306.55</v>
      </c>
      <c r="S20" s="671">
        <f>76901.13</f>
        <v>76901.13</v>
      </c>
    </row>
    <row r="21" spans="1:19" ht="45" customHeight="1" x14ac:dyDescent="0.25">
      <c r="A21" s="666" t="s">
        <v>705</v>
      </c>
      <c r="B21" s="667" t="s">
        <v>1119</v>
      </c>
      <c r="C21" s="666" t="s">
        <v>750</v>
      </c>
      <c r="D21" s="666" t="s">
        <v>1035</v>
      </c>
      <c r="E21" s="666" t="s">
        <v>1120</v>
      </c>
      <c r="F21" s="668">
        <f>9196.56</f>
        <v>9196.56</v>
      </c>
      <c r="G21" s="666" t="s">
        <v>627</v>
      </c>
      <c r="H21" s="669">
        <v>2.2400000000000002</v>
      </c>
      <c r="I21" s="669">
        <v>2.2400000000000002</v>
      </c>
      <c r="J21" s="670" t="s">
        <v>1087</v>
      </c>
      <c r="K21" s="671">
        <f>2.78</f>
        <v>2.78</v>
      </c>
      <c r="L21" s="672">
        <f>25566.44</f>
        <v>25566.44</v>
      </c>
      <c r="M21" s="666"/>
      <c r="N21" s="673">
        <v>3</v>
      </c>
      <c r="O21" s="666" t="s">
        <v>1043</v>
      </c>
      <c r="P21" s="673">
        <v>1</v>
      </c>
      <c r="Q21" s="666">
        <v>1</v>
      </c>
      <c r="R21" s="674">
        <v>9196.56</v>
      </c>
      <c r="S21" s="671">
        <f>25566.44</f>
        <v>25566.44</v>
      </c>
    </row>
    <row r="22" spans="1:19" ht="45" customHeight="1" x14ac:dyDescent="0.25">
      <c r="A22" s="666" t="s">
        <v>705</v>
      </c>
      <c r="B22" s="667" t="s">
        <v>1121</v>
      </c>
      <c r="C22" s="666" t="s">
        <v>871</v>
      </c>
      <c r="D22" s="666" t="s">
        <v>1122</v>
      </c>
      <c r="E22" s="666" t="s">
        <v>1014</v>
      </c>
      <c r="F22" s="668">
        <f>3620.09</f>
        <v>3620.09</v>
      </c>
      <c r="G22" s="666" t="s">
        <v>623</v>
      </c>
      <c r="H22" s="669">
        <v>0</v>
      </c>
      <c r="I22" s="669">
        <v>0.82</v>
      </c>
      <c r="J22" s="670" t="s">
        <v>1087</v>
      </c>
      <c r="K22" s="671">
        <f>1.02</f>
        <v>1.02</v>
      </c>
      <c r="L22" s="672">
        <f>3692.49</f>
        <v>3692.49</v>
      </c>
      <c r="M22" s="666"/>
      <c r="N22" s="673">
        <v>3</v>
      </c>
      <c r="O22" s="666" t="s">
        <v>1043</v>
      </c>
      <c r="P22" s="673">
        <v>1</v>
      </c>
      <c r="Q22" s="666">
        <v>1</v>
      </c>
      <c r="R22" s="674">
        <v>3620.09</v>
      </c>
      <c r="S22" s="671">
        <f>3692.49</f>
        <v>3692.49</v>
      </c>
    </row>
    <row r="23" spans="1:19" ht="45" customHeight="1" x14ac:dyDescent="0.25">
      <c r="A23" s="666" t="s">
        <v>705</v>
      </c>
      <c r="B23" s="667" t="s">
        <v>1123</v>
      </c>
      <c r="C23" s="666" t="s">
        <v>871</v>
      </c>
      <c r="D23" s="666" t="s">
        <v>1124</v>
      </c>
      <c r="E23" s="666" t="s">
        <v>1039</v>
      </c>
      <c r="F23" s="668">
        <f>1857.89</f>
        <v>1857.89</v>
      </c>
      <c r="G23" s="666" t="s">
        <v>623</v>
      </c>
      <c r="H23" s="669">
        <v>0</v>
      </c>
      <c r="I23" s="669">
        <v>4.6900000000000004</v>
      </c>
      <c r="J23" s="670" t="s">
        <v>1087</v>
      </c>
      <c r="K23" s="671">
        <f>5.83</f>
        <v>5.83</v>
      </c>
      <c r="L23" s="672">
        <f>10831.5</f>
        <v>10831.5</v>
      </c>
      <c r="M23" s="666"/>
      <c r="N23" s="673">
        <v>3</v>
      </c>
      <c r="O23" s="666" t="s">
        <v>1043</v>
      </c>
      <c r="P23" s="673">
        <v>1</v>
      </c>
      <c r="Q23" s="666">
        <v>1</v>
      </c>
      <c r="R23" s="674">
        <v>1857.89</v>
      </c>
      <c r="S23" s="671">
        <f>10831.5</f>
        <v>10831.5</v>
      </c>
    </row>
    <row r="24" spans="1:19" ht="45" customHeight="1" x14ac:dyDescent="0.25">
      <c r="A24" s="666" t="s">
        <v>705</v>
      </c>
      <c r="B24" s="667" t="s">
        <v>1125</v>
      </c>
      <c r="C24" s="666" t="s">
        <v>871</v>
      </c>
      <c r="D24" s="666" t="s">
        <v>1126</v>
      </c>
      <c r="E24" s="666" t="s">
        <v>1040</v>
      </c>
      <c r="F24" s="668">
        <f>5477.98</f>
        <v>5477.98</v>
      </c>
      <c r="G24" s="666" t="s">
        <v>623</v>
      </c>
      <c r="H24" s="669">
        <v>0</v>
      </c>
      <c r="I24" s="669">
        <v>3.04</v>
      </c>
      <c r="J24" s="670" t="s">
        <v>1087</v>
      </c>
      <c r="K24" s="671">
        <f>3.78</f>
        <v>3.78</v>
      </c>
      <c r="L24" s="672">
        <f>20706.76</f>
        <v>20706.759999999998</v>
      </c>
      <c r="M24" s="666"/>
      <c r="N24" s="673">
        <v>3</v>
      </c>
      <c r="O24" s="666" t="s">
        <v>1043</v>
      </c>
      <c r="P24" s="673">
        <v>1</v>
      </c>
      <c r="Q24" s="666">
        <v>1</v>
      </c>
      <c r="R24" s="674">
        <v>5477.98</v>
      </c>
      <c r="S24" s="671">
        <f>20706.76</f>
        <v>20706.759999999998</v>
      </c>
    </row>
    <row r="25" spans="1:19" ht="45" customHeight="1" x14ac:dyDescent="0.25">
      <c r="A25" s="666" t="s">
        <v>705</v>
      </c>
      <c r="B25" s="667" t="s">
        <v>1127</v>
      </c>
      <c r="C25" s="666" t="s">
        <v>750</v>
      </c>
      <c r="D25" s="666" t="s">
        <v>1008</v>
      </c>
      <c r="E25" s="666" t="s">
        <v>1128</v>
      </c>
      <c r="F25" s="668">
        <f>191.73</f>
        <v>191.73</v>
      </c>
      <c r="G25" s="666" t="s">
        <v>625</v>
      </c>
      <c r="H25" s="669">
        <v>1493.89</v>
      </c>
      <c r="I25" s="669">
        <v>1493.89</v>
      </c>
      <c r="J25" s="670" t="s">
        <v>1087</v>
      </c>
      <c r="K25" s="671">
        <f>1857.35</f>
        <v>1857.35</v>
      </c>
      <c r="L25" s="672">
        <f>356109.72</f>
        <v>356109.72</v>
      </c>
      <c r="M25" s="666"/>
      <c r="N25" s="673">
        <v>3</v>
      </c>
      <c r="O25" s="666" t="s">
        <v>1043</v>
      </c>
      <c r="P25" s="673">
        <v>1</v>
      </c>
      <c r="Q25" s="666">
        <v>1</v>
      </c>
      <c r="R25" s="674">
        <v>191.73</v>
      </c>
      <c r="S25" s="671">
        <f>356109.72</f>
        <v>356109.72</v>
      </c>
    </row>
    <row r="26" spans="1:19" ht="45" customHeight="1" x14ac:dyDescent="0.25">
      <c r="A26" s="666" t="s">
        <v>705</v>
      </c>
      <c r="B26" s="667" t="s">
        <v>1129</v>
      </c>
      <c r="C26" s="666" t="s">
        <v>750</v>
      </c>
      <c r="D26" s="666" t="s">
        <v>1035</v>
      </c>
      <c r="E26" s="666" t="s">
        <v>1120</v>
      </c>
      <c r="F26" s="668">
        <f>5751.9</f>
        <v>5751.9</v>
      </c>
      <c r="G26" s="666" t="s">
        <v>627</v>
      </c>
      <c r="H26" s="669">
        <v>2.2400000000000002</v>
      </c>
      <c r="I26" s="669">
        <v>2.2400000000000002</v>
      </c>
      <c r="J26" s="670" t="s">
        <v>1087</v>
      </c>
      <c r="K26" s="671">
        <f>2.78</f>
        <v>2.78</v>
      </c>
      <c r="L26" s="672">
        <f>15990.28</f>
        <v>15990.28</v>
      </c>
      <c r="M26" s="666"/>
      <c r="N26" s="673">
        <v>3</v>
      </c>
      <c r="O26" s="666" t="s">
        <v>1043</v>
      </c>
      <c r="P26" s="673">
        <v>1</v>
      </c>
      <c r="Q26" s="666">
        <v>1</v>
      </c>
      <c r="R26" s="674">
        <v>5751.9</v>
      </c>
      <c r="S26" s="671">
        <f>15990.28</f>
        <v>15990.28</v>
      </c>
    </row>
    <row r="27" spans="1:19" ht="45" customHeight="1" x14ac:dyDescent="0.25">
      <c r="A27" s="666" t="s">
        <v>929</v>
      </c>
      <c r="B27" s="667" t="s">
        <v>1130</v>
      </c>
      <c r="C27" s="666"/>
      <c r="D27" s="666"/>
      <c r="E27" s="666" t="s">
        <v>1044</v>
      </c>
      <c r="F27" s="668"/>
      <c r="G27" s="666"/>
      <c r="H27" s="669"/>
      <c r="I27" s="669"/>
      <c r="J27" s="670"/>
      <c r="K27" s="671"/>
      <c r="L27" s="672">
        <f>227114.05</f>
        <v>227114.05</v>
      </c>
      <c r="M27" s="666"/>
      <c r="N27" s="673"/>
      <c r="O27" s="666"/>
      <c r="P27" s="673"/>
      <c r="Q27" s="666"/>
      <c r="R27" s="674"/>
      <c r="S27" s="671"/>
    </row>
    <row r="28" spans="1:19" ht="45" customHeight="1" x14ac:dyDescent="0.25">
      <c r="A28" s="666" t="s">
        <v>705</v>
      </c>
      <c r="B28" s="667" t="s">
        <v>1131</v>
      </c>
      <c r="C28" s="666" t="s">
        <v>871</v>
      </c>
      <c r="D28" s="666" t="s">
        <v>1122</v>
      </c>
      <c r="E28" s="666" t="s">
        <v>1014</v>
      </c>
      <c r="F28" s="668">
        <f>3122.93</f>
        <v>3122.93</v>
      </c>
      <c r="G28" s="666" t="s">
        <v>623</v>
      </c>
      <c r="H28" s="669">
        <v>0</v>
      </c>
      <c r="I28" s="669">
        <v>0.82</v>
      </c>
      <c r="J28" s="670" t="s">
        <v>1087</v>
      </c>
      <c r="K28" s="671">
        <f>1.02</f>
        <v>1.02</v>
      </c>
      <c r="L28" s="672">
        <f>3185.39</f>
        <v>3185.39</v>
      </c>
      <c r="M28" s="666"/>
      <c r="N28" s="673">
        <v>4</v>
      </c>
      <c r="O28" s="666" t="s">
        <v>1044</v>
      </c>
      <c r="P28" s="673">
        <v>1</v>
      </c>
      <c r="Q28" s="666">
        <v>1</v>
      </c>
      <c r="R28" s="674">
        <v>3122.93</v>
      </c>
      <c r="S28" s="671">
        <f>3185.39</f>
        <v>3185.39</v>
      </c>
    </row>
    <row r="29" spans="1:19" ht="45" customHeight="1" x14ac:dyDescent="0.25">
      <c r="A29" s="666" t="s">
        <v>705</v>
      </c>
      <c r="B29" s="667" t="s">
        <v>1132</v>
      </c>
      <c r="C29" s="666" t="s">
        <v>871</v>
      </c>
      <c r="D29" s="666" t="s">
        <v>1126</v>
      </c>
      <c r="E29" s="666" t="s">
        <v>1040</v>
      </c>
      <c r="F29" s="668">
        <f>3122.93</f>
        <v>3122.93</v>
      </c>
      <c r="G29" s="666" t="s">
        <v>623</v>
      </c>
      <c r="H29" s="669">
        <v>0</v>
      </c>
      <c r="I29" s="669">
        <v>3.04</v>
      </c>
      <c r="J29" s="670" t="s">
        <v>1087</v>
      </c>
      <c r="K29" s="671">
        <f>3.78</f>
        <v>3.78</v>
      </c>
      <c r="L29" s="672">
        <f>11804.68</f>
        <v>11804.68</v>
      </c>
      <c r="M29" s="666"/>
      <c r="N29" s="673">
        <v>4</v>
      </c>
      <c r="O29" s="666" t="s">
        <v>1044</v>
      </c>
      <c r="P29" s="673">
        <v>1</v>
      </c>
      <c r="Q29" s="666">
        <v>1</v>
      </c>
      <c r="R29" s="674">
        <v>3122.93</v>
      </c>
      <c r="S29" s="671">
        <f>11804.68</f>
        <v>11804.68</v>
      </c>
    </row>
    <row r="30" spans="1:19" ht="45" customHeight="1" x14ac:dyDescent="0.25">
      <c r="A30" s="666" t="s">
        <v>705</v>
      </c>
      <c r="B30" s="667" t="s">
        <v>1133</v>
      </c>
      <c r="C30" s="666" t="s">
        <v>750</v>
      </c>
      <c r="D30" s="666" t="s">
        <v>1008</v>
      </c>
      <c r="E30" s="666" t="s">
        <v>1128</v>
      </c>
      <c r="F30" s="668">
        <f>109.3</f>
        <v>109.3</v>
      </c>
      <c r="G30" s="666" t="s">
        <v>625</v>
      </c>
      <c r="H30" s="669">
        <v>1493.89</v>
      </c>
      <c r="I30" s="669">
        <v>1493.89</v>
      </c>
      <c r="J30" s="670" t="s">
        <v>1087</v>
      </c>
      <c r="K30" s="671">
        <f>1857.35</f>
        <v>1857.35</v>
      </c>
      <c r="L30" s="672">
        <f>203008.36</f>
        <v>203008.36</v>
      </c>
      <c r="M30" s="666"/>
      <c r="N30" s="673">
        <v>4</v>
      </c>
      <c r="O30" s="666" t="s">
        <v>1044</v>
      </c>
      <c r="P30" s="673">
        <v>1</v>
      </c>
      <c r="Q30" s="666">
        <v>1</v>
      </c>
      <c r="R30" s="674">
        <v>109.3</v>
      </c>
      <c r="S30" s="671">
        <f>203008.36</f>
        <v>203008.36</v>
      </c>
    </row>
    <row r="31" spans="1:19" ht="45" customHeight="1" x14ac:dyDescent="0.25">
      <c r="A31" s="666" t="s">
        <v>705</v>
      </c>
      <c r="B31" s="667" t="s">
        <v>1134</v>
      </c>
      <c r="C31" s="666" t="s">
        <v>750</v>
      </c>
      <c r="D31" s="666" t="s">
        <v>1035</v>
      </c>
      <c r="E31" s="666" t="s">
        <v>1120</v>
      </c>
      <c r="F31" s="668">
        <f>3279</f>
        <v>3279</v>
      </c>
      <c r="G31" s="666" t="s">
        <v>627</v>
      </c>
      <c r="H31" s="669">
        <v>2.2400000000000002</v>
      </c>
      <c r="I31" s="669">
        <v>2.2400000000000002</v>
      </c>
      <c r="J31" s="670" t="s">
        <v>1087</v>
      </c>
      <c r="K31" s="671">
        <f>2.78</f>
        <v>2.78</v>
      </c>
      <c r="L31" s="672">
        <f>9115.62</f>
        <v>9115.6200000000008</v>
      </c>
      <c r="M31" s="666"/>
      <c r="N31" s="673">
        <v>4</v>
      </c>
      <c r="O31" s="666" t="s">
        <v>1044</v>
      </c>
      <c r="P31" s="673">
        <v>1</v>
      </c>
      <c r="Q31" s="666">
        <v>1</v>
      </c>
      <c r="R31" s="674">
        <v>3279</v>
      </c>
      <c r="S31" s="671">
        <f>9115.62</f>
        <v>9115.6200000000008</v>
      </c>
    </row>
    <row r="32" spans="1:19" ht="45" customHeight="1" x14ac:dyDescent="0.25">
      <c r="A32" s="666" t="s">
        <v>929</v>
      </c>
      <c r="B32" s="667" t="s">
        <v>1135</v>
      </c>
      <c r="C32" s="666"/>
      <c r="D32" s="666"/>
      <c r="E32" s="666" t="s">
        <v>1045</v>
      </c>
      <c r="F32" s="668"/>
      <c r="G32" s="666"/>
      <c r="H32" s="669"/>
      <c r="I32" s="669"/>
      <c r="J32" s="670"/>
      <c r="K32" s="671"/>
      <c r="L32" s="672">
        <f>150169.41</f>
        <v>150169.41</v>
      </c>
      <c r="M32" s="666"/>
      <c r="N32" s="673"/>
      <c r="O32" s="666"/>
      <c r="P32" s="673"/>
      <c r="Q32" s="666"/>
      <c r="R32" s="674"/>
      <c r="S32" s="671"/>
    </row>
    <row r="33" spans="1:19" ht="45" customHeight="1" x14ac:dyDescent="0.25">
      <c r="A33" s="666" t="s">
        <v>705</v>
      </c>
      <c r="B33" s="667" t="s">
        <v>1136</v>
      </c>
      <c r="C33" s="666" t="s">
        <v>871</v>
      </c>
      <c r="D33" s="666" t="s">
        <v>1122</v>
      </c>
      <c r="E33" s="666" t="s">
        <v>1014</v>
      </c>
      <c r="F33" s="668">
        <f>2064.87</f>
        <v>2064.87</v>
      </c>
      <c r="G33" s="666" t="s">
        <v>623</v>
      </c>
      <c r="H33" s="669">
        <v>0</v>
      </c>
      <c r="I33" s="669">
        <v>0.82</v>
      </c>
      <c r="J33" s="670" t="s">
        <v>1087</v>
      </c>
      <c r="K33" s="671">
        <f>1.02</f>
        <v>1.02</v>
      </c>
      <c r="L33" s="672">
        <f>2106.17</f>
        <v>2106.17</v>
      </c>
      <c r="M33" s="666"/>
      <c r="N33" s="673">
        <v>5</v>
      </c>
      <c r="O33" s="666" t="s">
        <v>1045</v>
      </c>
      <c r="P33" s="673">
        <v>1</v>
      </c>
      <c r="Q33" s="666">
        <v>1</v>
      </c>
      <c r="R33" s="674">
        <v>2064.87</v>
      </c>
      <c r="S33" s="671">
        <f>2106.17</f>
        <v>2106.17</v>
      </c>
    </row>
    <row r="34" spans="1:19" ht="45" customHeight="1" x14ac:dyDescent="0.25">
      <c r="A34" s="666" t="s">
        <v>705</v>
      </c>
      <c r="B34" s="667" t="s">
        <v>1137</v>
      </c>
      <c r="C34" s="666" t="s">
        <v>871</v>
      </c>
      <c r="D34" s="666" t="s">
        <v>1126</v>
      </c>
      <c r="E34" s="666" t="s">
        <v>1040</v>
      </c>
      <c r="F34" s="668">
        <f>2064.87</f>
        <v>2064.87</v>
      </c>
      <c r="G34" s="666" t="s">
        <v>623</v>
      </c>
      <c r="H34" s="669">
        <v>0</v>
      </c>
      <c r="I34" s="669">
        <v>3.04</v>
      </c>
      <c r="J34" s="670" t="s">
        <v>1087</v>
      </c>
      <c r="K34" s="671">
        <f>3.78</f>
        <v>3.78</v>
      </c>
      <c r="L34" s="672">
        <f>7805.21</f>
        <v>7805.21</v>
      </c>
      <c r="M34" s="666"/>
      <c r="N34" s="673">
        <v>5</v>
      </c>
      <c r="O34" s="666" t="s">
        <v>1045</v>
      </c>
      <c r="P34" s="673">
        <v>1</v>
      </c>
      <c r="Q34" s="666">
        <v>1</v>
      </c>
      <c r="R34" s="674">
        <v>2064.87</v>
      </c>
      <c r="S34" s="671">
        <f>7805.21</f>
        <v>7805.21</v>
      </c>
    </row>
    <row r="35" spans="1:19" ht="45" customHeight="1" x14ac:dyDescent="0.25">
      <c r="A35" s="666" t="s">
        <v>705</v>
      </c>
      <c r="B35" s="667" t="s">
        <v>1138</v>
      </c>
      <c r="C35" s="666" t="s">
        <v>750</v>
      </c>
      <c r="D35" s="666" t="s">
        <v>1008</v>
      </c>
      <c r="E35" s="666" t="s">
        <v>1128</v>
      </c>
      <c r="F35" s="668">
        <f>72.27</f>
        <v>72.27</v>
      </c>
      <c r="G35" s="666" t="s">
        <v>625</v>
      </c>
      <c r="H35" s="669">
        <v>1493.89</v>
      </c>
      <c r="I35" s="669">
        <v>1493.89</v>
      </c>
      <c r="J35" s="670" t="s">
        <v>1087</v>
      </c>
      <c r="K35" s="671">
        <f>1857.35</f>
        <v>1857.35</v>
      </c>
      <c r="L35" s="672">
        <f>134230.68</f>
        <v>134230.68</v>
      </c>
      <c r="M35" s="666"/>
      <c r="N35" s="673">
        <v>5</v>
      </c>
      <c r="O35" s="666" t="s">
        <v>1045</v>
      </c>
      <c r="P35" s="673">
        <v>1</v>
      </c>
      <c r="Q35" s="666">
        <v>1</v>
      </c>
      <c r="R35" s="674">
        <v>72.27</v>
      </c>
      <c r="S35" s="671">
        <f>134230.68</f>
        <v>134230.68</v>
      </c>
    </row>
    <row r="36" spans="1:19" ht="45" customHeight="1" x14ac:dyDescent="0.25">
      <c r="A36" s="666" t="s">
        <v>705</v>
      </c>
      <c r="B36" s="667" t="s">
        <v>1139</v>
      </c>
      <c r="C36" s="666" t="s">
        <v>750</v>
      </c>
      <c r="D36" s="666" t="s">
        <v>1035</v>
      </c>
      <c r="E36" s="666" t="s">
        <v>1120</v>
      </c>
      <c r="F36" s="668">
        <f>2168.11</f>
        <v>2168.11</v>
      </c>
      <c r="G36" s="666" t="s">
        <v>627</v>
      </c>
      <c r="H36" s="669">
        <v>2.2400000000000002</v>
      </c>
      <c r="I36" s="669">
        <v>2.2400000000000002</v>
      </c>
      <c r="J36" s="670" t="s">
        <v>1087</v>
      </c>
      <c r="K36" s="671">
        <f>2.78</f>
        <v>2.78</v>
      </c>
      <c r="L36" s="672">
        <f>6027.35</f>
        <v>6027.35</v>
      </c>
      <c r="M36" s="666"/>
      <c r="N36" s="673">
        <v>5</v>
      </c>
      <c r="O36" s="666" t="s">
        <v>1045</v>
      </c>
      <c r="P36" s="673">
        <v>1</v>
      </c>
      <c r="Q36" s="666">
        <v>1</v>
      </c>
      <c r="R36" s="674">
        <v>2168.11</v>
      </c>
      <c r="S36" s="671">
        <f>6027.35</f>
        <v>6027.35</v>
      </c>
    </row>
    <row r="37" spans="1:19" ht="45" customHeight="1" x14ac:dyDescent="0.25">
      <c r="A37" s="666" t="s">
        <v>929</v>
      </c>
      <c r="B37" s="667" t="s">
        <v>1140</v>
      </c>
      <c r="C37" s="666"/>
      <c r="D37" s="666"/>
      <c r="E37" s="666" t="s">
        <v>1046</v>
      </c>
      <c r="F37" s="668"/>
      <c r="G37" s="666"/>
      <c r="H37" s="669"/>
      <c r="I37" s="669"/>
      <c r="J37" s="670"/>
      <c r="K37" s="671"/>
      <c r="L37" s="672">
        <f>3093.08</f>
        <v>3093.08</v>
      </c>
      <c r="M37" s="666"/>
      <c r="N37" s="673"/>
      <c r="O37" s="666"/>
      <c r="P37" s="673"/>
      <c r="Q37" s="666"/>
      <c r="R37" s="674"/>
      <c r="S37" s="671"/>
    </row>
    <row r="38" spans="1:19" ht="45" customHeight="1" x14ac:dyDescent="0.25">
      <c r="A38" s="666" t="s">
        <v>705</v>
      </c>
      <c r="B38" s="667" t="s">
        <v>1141</v>
      </c>
      <c r="C38" s="666" t="s">
        <v>871</v>
      </c>
      <c r="D38" s="666" t="s">
        <v>1142</v>
      </c>
      <c r="E38" s="666" t="s">
        <v>1047</v>
      </c>
      <c r="F38" s="668">
        <f>10665.78</f>
        <v>10665.78</v>
      </c>
      <c r="G38" s="666" t="s">
        <v>623</v>
      </c>
      <c r="H38" s="669">
        <v>0</v>
      </c>
      <c r="I38" s="669">
        <v>0.23</v>
      </c>
      <c r="J38" s="670" t="s">
        <v>1087</v>
      </c>
      <c r="K38" s="671">
        <f>0.29</f>
        <v>0.28999999999999998</v>
      </c>
      <c r="L38" s="672">
        <f>3093.08</f>
        <v>3093.08</v>
      </c>
      <c r="M38" s="666"/>
      <c r="N38" s="673">
        <v>6</v>
      </c>
      <c r="O38" s="666" t="s">
        <v>1046</v>
      </c>
      <c r="P38" s="673">
        <v>1</v>
      </c>
      <c r="Q38" s="666">
        <v>1</v>
      </c>
      <c r="R38" s="674">
        <v>10665.78</v>
      </c>
      <c r="S38" s="671">
        <f>3093.08</f>
        <v>3093.08</v>
      </c>
    </row>
    <row r="39" spans="1:19" x14ac:dyDescent="0.25">
      <c r="R39" s="676" t="s">
        <v>763</v>
      </c>
      <c r="S39" s="677">
        <f>1081686.62</f>
        <v>1081686.6200000001</v>
      </c>
    </row>
    <row r="40" spans="1:19" x14ac:dyDescent="0.25">
      <c r="R40" s="676" t="s">
        <v>1143</v>
      </c>
      <c r="S40" s="677">
        <f>0</f>
        <v>0</v>
      </c>
    </row>
  </sheetData>
  <sheetProtection algorithmName="SHA-512" hashValue="IY6Dw0uOiqR6mlD4clocZ1eGWYmVXaKrKOGsoNn00DJB3v4Z/SaL5e+5O3rJJuwNRZzg2UJ/WoqMzDNV/xg/XQ==" saltValue="UivkwM2ElpF4EutwT9Dy2w==" spinCount="100000" sheet="1" objects="1" scenarios="1"/>
  <conditionalFormatting sqref="A2:S2">
    <cfRule type="expression" dxfId="38" priority="78">
      <formula>$A2="Macrosserviço"</formula>
    </cfRule>
  </conditionalFormatting>
  <conditionalFormatting sqref="E2:E38">
    <cfRule type="expression" dxfId="37" priority="84">
      <formula>IF($A2="Macrosserviço",LEN($E2)&gt;100,LEN($E2)&gt;500)</formula>
    </cfRule>
  </conditionalFormatting>
  <conditionalFormatting sqref="M2:M38">
    <cfRule type="expression" dxfId="36" priority="79">
      <formula>IF($A2="Serviço",LEN(M2)&gt;500,M2&lt;&gt;"")</formula>
    </cfRule>
  </conditionalFormatting>
  <conditionalFormatting sqref="A2:A38">
    <cfRule type="expression" dxfId="35" priority="71">
      <formula>AND(A2&lt;&gt;"Macrosserviço",A2&lt;&gt;"Serviço",A2&lt;&gt;"")</formula>
    </cfRule>
  </conditionalFormatting>
  <conditionalFormatting sqref="C2:C38">
    <cfRule type="expression" dxfId="34" priority="70">
      <formula>IF($A2="Serviço",AND(C2&lt;&gt;"Composição",C2&lt;&gt;"Cotação",C2&lt;&gt;"SINAPI",C2&lt;&gt;"Outros"),C2&lt;&gt;"")</formula>
    </cfRule>
  </conditionalFormatting>
  <conditionalFormatting sqref="D2:D38">
    <cfRule type="expression" dxfId="33" priority="69">
      <formula>IF($A2="Serviço",OR(D2="",LEN($D2)&gt;13),D2&lt;&gt;"")</formula>
    </cfRule>
  </conditionalFormatting>
  <conditionalFormatting sqref="H2:H38">
    <cfRule type="expression" dxfId="32" priority="68">
      <formula>IF(A2="Serviço",OR(NOT(ISNUMBER(H2)),H2&lt;&gt;ROUND(H2,2),AND(C2&lt;&gt;"SINAPI",H2=0),H2&lt;0,H2&gt;9999999999.99),H2&lt;&gt;"")</formula>
    </cfRule>
  </conditionalFormatting>
  <conditionalFormatting sqref="I2:I38">
    <cfRule type="expression" dxfId="31" priority="67">
      <formula>IF($A2="Serviço",OR(NOT(ISNUMBER(I2)),I2&lt;&gt;ROUND(I2,2),I2&lt;=0,I2&gt;9999999999.99,AND(I2&gt;H2,H2&gt;0)),I2&lt;&gt;"")</formula>
    </cfRule>
  </conditionalFormatting>
  <conditionalFormatting sqref="J2:J38">
    <cfRule type="expression" dxfId="30" priority="66">
      <formula>IF($A2="Serviço",OR(NOT(ISNUMBER(VALUE(J2))),VALUE(J2)&lt;&gt;ROUND(VALUE(J2),4),VALUE(J2)&lt;=0,VALUE(J2)&gt;100%),J2&lt;&gt;"")</formula>
    </cfRule>
  </conditionalFormatting>
  <conditionalFormatting sqref="N2:N38">
    <cfRule type="expression" dxfId="29" priority="65">
      <formula>IF($A2="Serviço",OR(NOT(ISNUMBER(N2)),N2&lt;&gt;ROUND(N2,0),N2&lt;1,N2&gt;999),N2&lt;&gt;"")</formula>
    </cfRule>
  </conditionalFormatting>
  <conditionalFormatting sqref="O2:O38">
    <cfRule type="expression" dxfId="28" priority="64">
      <formula>IF($A2="Serviço",OR(O2="",LEN(O2)&gt;100),O2&lt;&gt;"")</formula>
    </cfRule>
  </conditionalFormatting>
  <conditionalFormatting sqref="P2:P38">
    <cfRule type="expression" dxfId="27" priority="63">
      <formula>IF($A2="Macrosserviço",P2&lt;&gt;"",OR(NOT(ISNUMBER(P2)),P2&lt;&gt;ROUND(P2,0),P2&lt;1,P2&gt;999))</formula>
    </cfRule>
  </conditionalFormatting>
  <conditionalFormatting sqref="Q2:Q38">
    <cfRule type="expression" dxfId="26" priority="62">
      <formula>IF($A2="Macrosserviço",Q2&lt;&gt;"",OR(Q2="",LEN(Q2)&gt;100))</formula>
    </cfRule>
  </conditionalFormatting>
  <conditionalFormatting sqref="R2:R38">
    <cfRule type="expression" dxfId="25" priority="53">
      <formula>IF($A2="Macrosserviço",R2&lt;&gt;"",OR(NOT(ISNUMBER(R2)),R2&lt;&gt;ROUND(R2,2),R2&lt;=0,R2&gt;99999999.99))</formula>
    </cfRule>
  </conditionalFormatting>
  <conditionalFormatting sqref="A3:S38">
    <cfRule type="expression" dxfId="24" priority="1">
      <formula>$A3="Macrosserviço"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0" id="{25CCDBA9-1706-4691-BF49-13343E4655EF}">
            <xm:f>AND($A2="Serviço",OR($G2="",ISNA(MATCH($G2,DADOS!$AV$3:$AV$221,0))))</xm:f>
            <x14:dxf>
              <fill>
                <patternFill>
                  <bgColor rgb="FFFF0000"/>
                </patternFill>
              </fill>
            </x14:dxf>
          </x14:cfRule>
          <xm:sqref>G2:G38</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7"/>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78">
        <v>1</v>
      </c>
      <c r="B2" s="678" t="s">
        <v>1010</v>
      </c>
      <c r="C2" s="678">
        <v>1</v>
      </c>
      <c r="D2" s="678">
        <v>1</v>
      </c>
      <c r="E2" s="678">
        <v>1</v>
      </c>
    </row>
    <row r="3" spans="1:5" ht="45" customHeight="1" x14ac:dyDescent="0.25">
      <c r="A3" s="678">
        <v>2</v>
      </c>
      <c r="B3" s="678" t="s">
        <v>1024</v>
      </c>
      <c r="C3" s="678">
        <v>1</v>
      </c>
      <c r="D3" s="678">
        <v>1</v>
      </c>
      <c r="E3" s="678">
        <v>1</v>
      </c>
    </row>
    <row r="4" spans="1:5" ht="45" customHeight="1" x14ac:dyDescent="0.25">
      <c r="A4" s="678">
        <v>3</v>
      </c>
      <c r="B4" s="678" t="s">
        <v>1043</v>
      </c>
      <c r="C4" s="678">
        <v>1</v>
      </c>
      <c r="D4" s="678">
        <v>1</v>
      </c>
      <c r="E4" s="678">
        <v>2</v>
      </c>
    </row>
    <row r="5" spans="1:5" ht="45" customHeight="1" x14ac:dyDescent="0.25">
      <c r="A5" s="678">
        <v>4</v>
      </c>
      <c r="B5" s="678" t="s">
        <v>1044</v>
      </c>
      <c r="C5" s="678">
        <v>1</v>
      </c>
      <c r="D5" s="678">
        <v>1</v>
      </c>
      <c r="E5" s="678">
        <v>2</v>
      </c>
    </row>
    <row r="6" spans="1:5" ht="45" customHeight="1" x14ac:dyDescent="0.25">
      <c r="A6" s="678">
        <v>5</v>
      </c>
      <c r="B6" s="678" t="s">
        <v>1045</v>
      </c>
      <c r="C6" s="678">
        <v>1</v>
      </c>
      <c r="D6" s="678">
        <v>1</v>
      </c>
      <c r="E6" s="678">
        <v>2</v>
      </c>
    </row>
    <row r="7" spans="1:5" ht="45" customHeight="1" x14ac:dyDescent="0.25">
      <c r="A7" s="678">
        <v>6</v>
      </c>
      <c r="B7" s="678" t="s">
        <v>1046</v>
      </c>
      <c r="C7" s="678">
        <v>1</v>
      </c>
      <c r="D7" s="678">
        <v>1</v>
      </c>
      <c r="E7" s="678">
        <v>2</v>
      </c>
    </row>
  </sheetData>
  <sheetProtection algorithmName="SHA-512" hashValue="fUf5o0aCS4HoOvfDbx745iCux0o5wmaSj1kDyCxSXfmm9X+n99lrWk/8XkHJbZtkxGrmLneRCCbmrZRsTQr07A==" saltValue="ATEWYc1LWDUNJ00Y3PMURA==" spinCount="100000" sheet="1" objects="1" scenarios="1"/>
  <conditionalFormatting sqref="A2:A7">
    <cfRule type="expression" dxfId="22" priority="5">
      <formula>OR(NOT(ISNUMBER(A2)),A2&lt;&gt;ROUND(A2,0),A2&lt;1,A2&gt;999)</formula>
    </cfRule>
  </conditionalFormatting>
  <conditionalFormatting sqref="B2:B7">
    <cfRule type="expression" dxfId="21" priority="4">
      <formula>OR(B2="",LEN(B2)&gt;100)</formula>
    </cfRule>
  </conditionalFormatting>
  <conditionalFormatting sqref="C2:C7">
    <cfRule type="expression" dxfId="20" priority="3">
      <formula>OR(NOT(ISNUMBER(C2)),C2&lt;&gt;ROUND(C2,0),C2&lt;1,C2&gt;999)</formula>
    </cfRule>
  </conditionalFormatting>
  <conditionalFormatting sqref="D2:D7">
    <cfRule type="expression" dxfId="19" priority="2">
      <formula>OR(D2="",LEN(D2)&gt;100)</formula>
    </cfRule>
  </conditionalFormatting>
  <conditionalFormatting sqref="E2:E7">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a46162</cp:lastModifiedBy>
  <cp:revision>5</cp:revision>
  <cp:lastPrinted>2026-04-30T17:37:19Z</cp:lastPrinted>
  <dcterms:created xsi:type="dcterms:W3CDTF">1997-01-10T22:22:50Z</dcterms:created>
  <dcterms:modified xsi:type="dcterms:W3CDTF">2026-04-30T18:07:16Z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